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PZTDriver\Project Outputs for PZTDewhiteInterface\"/>
    </mc:Choice>
  </mc:AlternateContent>
  <xr:revisionPtr revIDLastSave="0" documentId="13_ncr:1_{C2FE50D3-A09A-481C-A0B9-F0C97B46AF07}" xr6:coauthVersionLast="47" xr6:coauthVersionMax="47" xr10:uidLastSave="{00000000-0000-0000-0000-000000000000}"/>
  <bookViews>
    <workbookView xWindow="5120" yWindow="420" windowWidth="2580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3" l="1"/>
  <c r="N17" i="3" s="1"/>
  <c r="O17" i="3" s="1"/>
  <c r="L17" i="3"/>
  <c r="M16" i="3"/>
  <c r="L16" i="3"/>
  <c r="M15" i="3"/>
  <c r="L15" i="3"/>
  <c r="M14" i="3"/>
  <c r="L14" i="3"/>
  <c r="M13" i="3"/>
  <c r="N13" i="3" s="1"/>
  <c r="O13" i="3" s="1"/>
  <c r="L13" i="3"/>
  <c r="M12" i="3"/>
  <c r="N12" i="3" s="1"/>
  <c r="O12" i="3" s="1"/>
  <c r="L12" i="3"/>
  <c r="L11" i="3"/>
  <c r="M11" i="3"/>
  <c r="M10" i="3"/>
  <c r="L10" i="3"/>
  <c r="G28" i="3"/>
  <c r="G27" i="3"/>
  <c r="G26" i="3"/>
  <c r="G25" i="3"/>
  <c r="G24" i="3"/>
  <c r="G23" i="3"/>
  <c r="B18" i="3"/>
  <c r="F8" i="3"/>
  <c r="G8" i="3"/>
  <c r="N15" i="3" l="1"/>
  <c r="O15" i="3" s="1"/>
  <c r="N16" i="3"/>
  <c r="O16" i="3" s="1"/>
  <c r="N10" i="3"/>
  <c r="N14" i="3"/>
  <c r="O14" i="3" s="1"/>
  <c r="N11" i="3"/>
  <c r="O11" i="3"/>
  <c r="O10" i="3"/>
</calcChain>
</file>

<file path=xl/sharedStrings.xml><?xml version="1.0" encoding="utf-8"?>
<sst xmlns="http://schemas.openxmlformats.org/spreadsheetml/2006/main" count="100" uniqueCount="88">
  <si>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</si>
  <si>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</si>
  <si>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</si>
  <si>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</si>
  <si>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</si>
  <si>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</si>
  <si>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</si>
  <si>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</si>
  <si>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</si>
  <si>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</si>
  <si>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</si>
  <si>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</si>
  <si>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</si>
  <si>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</si>
  <si>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</si>
  <si>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</si>
  <si>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</si>
  <si>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</si>
  <si>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</si>
  <si>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</si>
  <si>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D2500196</t>
  </si>
  <si>
    <t/>
  </si>
  <si>
    <t>PZTDewhiteInterface.PrjPcb</t>
  </si>
  <si>
    <t>4</t>
  </si>
  <si>
    <t>6/18/2025</t>
  </si>
  <si>
    <t>10:46 AM</t>
  </si>
  <si>
    <t>Quantity</t>
  </si>
  <si>
    <t>Manufacturer 1</t>
  </si>
  <si>
    <t>TE Connectivity</t>
  </si>
  <si>
    <t>Samsung</t>
  </si>
  <si>
    <t>Keystone Electronics</t>
  </si>
  <si>
    <t>Amphenol Communications Solutions</t>
  </si>
  <si>
    <t>TE Connectivity AMP</t>
  </si>
  <si>
    <t>Molex</t>
  </si>
  <si>
    <t>Manufacturer Part Number 1</t>
  </si>
  <si>
    <t>5227839-1</t>
  </si>
  <si>
    <t>CL21B105KBFNFNE</t>
  </si>
  <si>
    <t>D15P33E4PA00LF</t>
  </si>
  <si>
    <t>5747843-2</t>
  </si>
  <si>
    <t>5747847-6</t>
  </si>
  <si>
    <t>Supplier 1</t>
  </si>
  <si>
    <t>Digikey</t>
  </si>
  <si>
    <t>Supplier Part Number 1</t>
  </si>
  <si>
    <t>A32444-ND</t>
  </si>
  <si>
    <t>1276-2928-1-ND</t>
  </si>
  <si>
    <t>36-708-ND</t>
  </si>
  <si>
    <t>609-6495-ND</t>
  </si>
  <si>
    <t>5747843-2-ND</t>
  </si>
  <si>
    <t>A32130-ND</t>
  </si>
  <si>
    <t>900-0732517040-ND</t>
  </si>
  <si>
    <t>Name</t>
  </si>
  <si>
    <t>TNC</t>
  </si>
  <si>
    <t>1u</t>
  </si>
  <si>
    <t>Bracket</t>
  </si>
  <si>
    <t>DB15M</t>
  </si>
  <si>
    <t>DB37M</t>
  </si>
  <si>
    <t>DB37F</t>
  </si>
  <si>
    <t>NL</t>
  </si>
  <si>
    <t>SMA</t>
  </si>
  <si>
    <t>Description</t>
  </si>
  <si>
    <t>Capacitor, surface mount</t>
  </si>
  <si>
    <t>Keystone Electronics right-angle 6-32 steel, 708</t>
  </si>
  <si>
    <t>Plug Assembly, 15 Position, Right Angle, .318 Series</t>
  </si>
  <si>
    <t>Plug Assembly, 37 Position, Right Angle, .318 Series</t>
  </si>
  <si>
    <t>Receptacle Assembly, 37 Position, Right Angle, .318 Series</t>
  </si>
  <si>
    <t>Resistor, surface mount</t>
  </si>
  <si>
    <t>Designator</t>
  </si>
  <si>
    <t>J1, J2, J3, J4, J5, J6</t>
  </si>
  <si>
    <t>C1</t>
  </si>
  <si>
    <t>B1</t>
  </si>
  <si>
    <t>J9</t>
  </si>
  <si>
    <t>J7</t>
  </si>
  <si>
    <t>J8</t>
  </si>
  <si>
    <t>R1</t>
  </si>
  <si>
    <t>J10, J11</t>
  </si>
  <si>
    <t>Footprint</t>
  </si>
  <si>
    <t>TNC2</t>
  </si>
  <si>
    <t>CC2013-0805</t>
  </si>
  <si>
    <t>Bracket-RA_708</t>
  </si>
  <si>
    <t>DB15M-RA</t>
  </si>
  <si>
    <t>DB37M-RA</t>
  </si>
  <si>
    <t>DB37F-RA</t>
  </si>
  <si>
    <t>CR2012-0805</t>
  </si>
  <si>
    <t>Assembly Type</t>
  </si>
  <si>
    <t>TH</t>
  </si>
  <si>
    <t>M</t>
  </si>
  <si>
    <t>TNC, PCB Mount, Right Angle</t>
  </si>
  <si>
    <t>SMA, PCB Mount, Straight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</si>
</sst>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18" totalsRowShown="0" headerRowDxfId="19" dataDxfId="17" headerRowBorderDxfId="18" tableBorderDxfId="16">
  <autoFilter ref="B9:O18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28"/>
  <sheetViews>
    <sheetView showGridLines="0" tabSelected="1" zoomScaleNormal="100" workbookViewId="0">
      <selection activeCell="H18" sqref="H18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24.9062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>
        <v>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21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24</v>
      </c>
      <c r="G7" s="56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45826</v>
      </c>
      <c r="G8" s="59">
        <f ca="1">NOW()</f>
        <v>45826.450626620368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34</v>
      </c>
      <c r="E9" s="40" t="s">
        <v>40</v>
      </c>
      <c r="F9" s="40" t="s">
        <v>42</v>
      </c>
      <c r="G9" s="40" t="s">
        <v>50</v>
      </c>
      <c r="H9" s="40" t="s">
        <v>59</v>
      </c>
      <c r="I9" s="41" t="s">
        <v>66</v>
      </c>
      <c r="J9" s="40" t="s">
        <v>75</v>
      </c>
      <c r="K9" s="40" t="s">
        <v>83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6</v>
      </c>
      <c r="C10" s="46" t="s">
        <v>28</v>
      </c>
      <c r="D10" s="46" t="s">
        <v>35</v>
      </c>
      <c r="E10" s="47" t="s">
        <v>41</v>
      </c>
      <c r="F10" s="47" t="s">
        <v>43</v>
      </c>
      <c r="G10" s="47" t="s">
        <v>51</v>
      </c>
      <c r="H10" s="47" t="s">
        <v>86</v>
      </c>
      <c r="I10" s="47" t="s">
        <v>67</v>
      </c>
      <c r="J10" s="47" t="s">
        <v>76</v>
      </c>
      <c r="K10" s="47" t="s">
        <v>84</v>
      </c>
      <c r="L10" s="49">
        <f>+IF(OR(K10="BGA",K10="FP",K10="TH"),1,IF($K$4*B10&lt;100,5,0))</f>
        <v>1</v>
      </c>
      <c r="M10" s="48">
        <f>+IF(AND(K10="",$K$4*B10&gt;100),0.05,0)</f>
        <v>0</v>
      </c>
      <c r="N10" s="49">
        <f>+ROUNDUP($K$4*B10*M10+L10,0)</f>
        <v>1</v>
      </c>
      <c r="O10" s="42">
        <f>+IF(OR(LEFT(I10&amp;"",1)="C",LEFT(I10&amp;"",1)="R"),ROUNDUP($K$4*B10+N10,-1),$K$4*B10+N10)</f>
        <v>25</v>
      </c>
    </row>
    <row r="11" spans="1:15" s="2" customFormat="1" ht="13" x14ac:dyDescent="0.25">
      <c r="A11" s="13"/>
      <c r="B11" s="46">
        <v>1</v>
      </c>
      <c r="C11" s="46" t="s">
        <v>29</v>
      </c>
      <c r="D11" s="46" t="s">
        <v>36</v>
      </c>
      <c r="E11" s="47" t="s">
        <v>41</v>
      </c>
      <c r="F11" s="47" t="s">
        <v>44</v>
      </c>
      <c r="G11" s="47" t="s">
        <v>52</v>
      </c>
      <c r="H11" s="47" t="s">
        <v>60</v>
      </c>
      <c r="I11" s="47" t="s">
        <v>68</v>
      </c>
      <c r="J11" s="47" t="s">
        <v>77</v>
      </c>
      <c r="K11" s="47"/>
      <c r="L11" s="49">
        <f t="shared" ref="L11" si="0">+IF(OR(K11="BGA",K11="FP",K11="TH"),1,IF($K$4*B11&lt;100,5,0))</f>
        <v>5</v>
      </c>
      <c r="M11" s="48">
        <f t="shared" ref="M11" si="1">+IF(AND(K11="",$K$4*B11&gt;100),0.05,0)</f>
        <v>0</v>
      </c>
      <c r="N11" s="49">
        <f t="shared" ref="N11" si="2">+ROUNDUP($K$4*B11*M11+L11,0)</f>
        <v>5</v>
      </c>
      <c r="O11" s="42">
        <f t="shared" ref="O11" si="3">+IF(OR(LEFT(I11&amp;"",1)="C",LEFT(I11&amp;"",1)="R"),ROUNDUP($K$4*B11+N11,-1),$K$4*B11+N11)</f>
        <v>10</v>
      </c>
    </row>
    <row r="12" spans="1:15" s="2" customFormat="1" ht="20.5" x14ac:dyDescent="0.25">
      <c r="A12" s="13"/>
      <c r="B12" s="46">
        <v>1</v>
      </c>
      <c r="C12" s="46" t="s">
        <v>30</v>
      </c>
      <c r="D12" s="46">
        <v>708</v>
      </c>
      <c r="E12" s="47" t="s">
        <v>41</v>
      </c>
      <c r="F12" s="47" t="s">
        <v>45</v>
      </c>
      <c r="G12" s="47" t="s">
        <v>53</v>
      </c>
      <c r="H12" s="47" t="s">
        <v>61</v>
      </c>
      <c r="I12" s="47" t="s">
        <v>69</v>
      </c>
      <c r="J12" s="47" t="s">
        <v>78</v>
      </c>
      <c r="K12" s="47" t="s">
        <v>85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9</v>
      </c>
    </row>
    <row r="13" spans="1:15" s="2" customFormat="1" ht="20.5" x14ac:dyDescent="0.25">
      <c r="A13" s="13"/>
      <c r="B13" s="46">
        <v>1</v>
      </c>
      <c r="C13" s="46" t="s">
        <v>31</v>
      </c>
      <c r="D13" s="46" t="s">
        <v>37</v>
      </c>
      <c r="E13" s="47" t="s">
        <v>41</v>
      </c>
      <c r="F13" s="47" t="s">
        <v>46</v>
      </c>
      <c r="G13" s="47" t="s">
        <v>54</v>
      </c>
      <c r="H13" s="47" t="s">
        <v>62</v>
      </c>
      <c r="I13" s="47" t="s">
        <v>70</v>
      </c>
      <c r="J13" s="47" t="s">
        <v>79</v>
      </c>
      <c r="K13" s="47" t="s">
        <v>84</v>
      </c>
      <c r="L13" s="49">
        <f t="shared" ref="L13" si="4">+IF(OR(K13="BGA",K13="FP",K13="TH"),1,IF($K$4*B13&lt;100,5,0))</f>
        <v>1</v>
      </c>
      <c r="M13" s="48">
        <f t="shared" ref="M13" si="5">+IF(AND(K13="",$K$4*B13&gt;100),0.05,0)</f>
        <v>0</v>
      </c>
      <c r="N13" s="49">
        <f t="shared" ref="N13" si="6">+ROUNDUP($K$4*B13*M13+L13,0)</f>
        <v>1</v>
      </c>
      <c r="O13" s="42">
        <f t="shared" ref="O13" si="7">+IF(OR(LEFT(I13&amp;"",1)="C",LEFT(I13&amp;"",1)="R"),ROUNDUP($K$4*B13+N13,-1),$K$4*B13+N13)</f>
        <v>5</v>
      </c>
    </row>
    <row r="14" spans="1:15" s="2" customFormat="1" ht="20.5" x14ac:dyDescent="0.25">
      <c r="A14" s="13"/>
      <c r="B14" s="46">
        <v>1</v>
      </c>
      <c r="C14" s="46" t="s">
        <v>32</v>
      </c>
      <c r="D14" s="46" t="s">
        <v>38</v>
      </c>
      <c r="E14" s="47" t="s">
        <v>41</v>
      </c>
      <c r="F14" s="47" t="s">
        <v>47</v>
      </c>
      <c r="G14" s="47" t="s">
        <v>55</v>
      </c>
      <c r="H14" s="47" t="s">
        <v>63</v>
      </c>
      <c r="I14" s="47" t="s">
        <v>71</v>
      </c>
      <c r="J14" s="47" t="s">
        <v>80</v>
      </c>
      <c r="K14" s="47" t="s">
        <v>84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5</v>
      </c>
    </row>
    <row r="15" spans="1:15" s="2" customFormat="1" ht="20.5" x14ac:dyDescent="0.25">
      <c r="A15" s="13"/>
      <c r="B15" s="46">
        <v>1</v>
      </c>
      <c r="C15" s="46" t="s">
        <v>28</v>
      </c>
      <c r="D15" s="46" t="s">
        <v>39</v>
      </c>
      <c r="E15" s="47" t="s">
        <v>41</v>
      </c>
      <c r="F15" s="47" t="s">
        <v>48</v>
      </c>
      <c r="G15" s="47" t="s">
        <v>56</v>
      </c>
      <c r="H15" s="47" t="s">
        <v>64</v>
      </c>
      <c r="I15" s="47" t="s">
        <v>72</v>
      </c>
      <c r="J15" s="47" t="s">
        <v>81</v>
      </c>
      <c r="K15" s="47" t="s">
        <v>84</v>
      </c>
      <c r="L15" s="49">
        <f t="shared" ref="L15" si="8">+IF(OR(K15="BGA",K15="FP",K15="TH"),1,IF($K$4*B15&lt;100,5,0))</f>
        <v>1</v>
      </c>
      <c r="M15" s="48">
        <f t="shared" ref="M15" si="9">+IF(AND(K15="",$K$4*B15&gt;100),0.05,0)</f>
        <v>0</v>
      </c>
      <c r="N15" s="49">
        <f t="shared" ref="N15" si="10">+ROUNDUP($K$4*B15*M15+L15,0)</f>
        <v>1</v>
      </c>
      <c r="O15" s="42">
        <f t="shared" ref="O15" si="11">+IF(OR(LEFT(I15&amp;"",1)="C",LEFT(I15&amp;"",1)="R"),ROUNDUP($K$4*B15+N15,-1),$K$4*B15+N15)</f>
        <v>5</v>
      </c>
    </row>
    <row r="16" spans="1:15" s="2" customFormat="1" ht="13" x14ac:dyDescent="0.25">
      <c r="A16" s="13"/>
      <c r="B16" s="46">
        <v>1</v>
      </c>
      <c r="C16" s="46"/>
      <c r="D16" s="46"/>
      <c r="E16" s="47"/>
      <c r="F16" s="47"/>
      <c r="G16" s="47" t="s">
        <v>57</v>
      </c>
      <c r="H16" s="47" t="s">
        <v>65</v>
      </c>
      <c r="I16" s="47" t="s">
        <v>73</v>
      </c>
      <c r="J16" s="47" t="s">
        <v>82</v>
      </c>
      <c r="K16" s="47"/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10</v>
      </c>
    </row>
    <row r="17" spans="1:15" x14ac:dyDescent="0.25">
      <c r="A17" s="13"/>
      <c r="B17" s="46">
        <v>2</v>
      </c>
      <c r="C17" s="46" t="s">
        <v>33</v>
      </c>
      <c r="D17" s="46">
        <v>732517040</v>
      </c>
      <c r="E17" s="47" t="s">
        <v>41</v>
      </c>
      <c r="F17" s="47" t="s">
        <v>49</v>
      </c>
      <c r="G17" s="47" t="s">
        <v>58</v>
      </c>
      <c r="H17" s="47" t="s">
        <v>87</v>
      </c>
      <c r="I17" s="47" t="s">
        <v>74</v>
      </c>
      <c r="J17" s="47" t="s">
        <v>58</v>
      </c>
      <c r="K17" s="47" t="s">
        <v>84</v>
      </c>
      <c r="L17" s="49">
        <f t="shared" ref="L17" si="12">+IF(OR(K17="BGA",K17="FP",K17="TH"),1,IF($K$4*B17&lt;100,5,0))</f>
        <v>1</v>
      </c>
      <c r="M17" s="48">
        <f t="shared" ref="M17" si="13">+IF(AND(K17="",$K$4*B17&gt;100),0.05,0)</f>
        <v>0</v>
      </c>
      <c r="N17" s="49">
        <f t="shared" ref="N17" si="14">+ROUNDUP($K$4*B17*M17+L17,0)</f>
        <v>1</v>
      </c>
      <c r="O17" s="42">
        <f t="shared" ref="O17" si="15">+IF(OR(LEFT(I17&amp;"",1)="C",LEFT(I17&amp;"",1)="R"),ROUNDUP($K$4*B17+N17,-1),$K$4*B17+N17)</f>
        <v>9</v>
      </c>
    </row>
    <row r="18" spans="1:15" x14ac:dyDescent="0.25">
      <c r="A18" s="14"/>
      <c r="B18" s="43">
        <f>SUM(B10:B17)</f>
        <v>14</v>
      </c>
      <c r="C18" s="50"/>
      <c r="D18" s="50"/>
      <c r="E18" s="44" t="s">
        <v>9</v>
      </c>
      <c r="F18" s="44"/>
      <c r="G18" s="44"/>
      <c r="H18" s="44"/>
      <c r="I18" s="45"/>
      <c r="J18" s="45"/>
      <c r="K18" s="44"/>
      <c r="L18" s="45"/>
      <c r="M18" s="45"/>
      <c r="N18" s="45"/>
      <c r="O18" s="45"/>
    </row>
    <row r="19" spans="1:15" x14ac:dyDescent="0.25">
      <c r="B19" s="1"/>
      <c r="C19" s="1"/>
      <c r="D19" s="1"/>
      <c r="E19" s="1"/>
    </row>
    <row r="20" spans="1:15" x14ac:dyDescent="0.25">
      <c r="B20" s="1"/>
      <c r="C20" s="1"/>
      <c r="D20" s="1"/>
      <c r="E20" s="1"/>
    </row>
    <row r="21" spans="1:15" x14ac:dyDescent="0.25">
      <c r="B21" s="1"/>
      <c r="C21" s="1"/>
      <c r="D21" s="1"/>
      <c r="E21" s="1"/>
    </row>
    <row r="22" spans="1:15" ht="17.5" x14ac:dyDescent="0.25">
      <c r="B22" s="1"/>
      <c r="C22" s="1"/>
      <c r="D22" s="1"/>
      <c r="E22" s="61" t="s">
        <v>8</v>
      </c>
      <c r="F22" s="62"/>
      <c r="G22" s="63"/>
      <c r="H22" s="20"/>
      <c r="I22" s="21"/>
    </row>
    <row r="23" spans="1:15" x14ac:dyDescent="0.25">
      <c r="E23" s="33" t="s">
        <v>3</v>
      </c>
      <c r="F23" s="34"/>
      <c r="G23" s="35">
        <f>COUNT(B10:B17)</f>
        <v>8</v>
      </c>
    </row>
    <row r="24" spans="1:15" x14ac:dyDescent="0.25">
      <c r="E24" s="16" t="s">
        <v>4</v>
      </c>
      <c r="F24" s="30"/>
      <c r="G24" s="28">
        <f>SUMIF($K$10:$K$17, "", $B$10:$B$17)</f>
        <v>2</v>
      </c>
    </row>
    <row r="25" spans="1:15" x14ac:dyDescent="0.25">
      <c r="E25" s="33" t="s">
        <v>5</v>
      </c>
      <c r="F25" s="34"/>
      <c r="G25" s="36">
        <f>SUMIF($K$10:$K$17, "TH", $B$10:$B$17)</f>
        <v>11</v>
      </c>
    </row>
    <row r="26" spans="1:15" x14ac:dyDescent="0.25">
      <c r="E26" s="16" t="s">
        <v>6</v>
      </c>
      <c r="F26" s="30"/>
      <c r="G26" s="28">
        <f>SUMIF($K$10:$K$17, "FP", $B$10:$B$17)</f>
        <v>0</v>
      </c>
    </row>
    <row r="27" spans="1:15" x14ac:dyDescent="0.25">
      <c r="E27" s="33" t="s">
        <v>7</v>
      </c>
      <c r="F27" s="34"/>
      <c r="G27" s="36">
        <f>SUMIF($K$10:$K$17, "BGA", $B$10:$B$17)</f>
        <v>0</v>
      </c>
    </row>
    <row r="28" spans="1:15" x14ac:dyDescent="0.25">
      <c r="E28" s="27" t="s">
        <v>16</v>
      </c>
      <c r="F28" s="31"/>
      <c r="G28" s="29">
        <f>SUMIF($K$10:$K$17, "M", $B$10:$B$17)</f>
        <v>1</v>
      </c>
    </row>
  </sheetData>
  <mergeCells count="3">
    <mergeCell ref="I4:J4"/>
    <mergeCell ref="G8:H8"/>
    <mergeCell ref="E22:G22"/>
  </mergeCells>
  <phoneticPr fontId="0" type="noConversion"/>
  <conditionalFormatting sqref="B10:N17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2025-06-18T17:48:54Z</dcterms:modified>
</cp:coreProperties>
</file>