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Converter\Testing\RelayBypass_8\Project Outputs for RelayBypass8\"/>
    </mc:Choice>
  </mc:AlternateContent>
  <xr:revisionPtr revIDLastSave="0" documentId="13_ncr:1_{D65993B4-D7AD-48EE-81D5-45683E86732B}" xr6:coauthVersionLast="47" xr6:coauthVersionMax="47" xr10:uidLastSave="{00000000-0000-0000-0000-000000000000}"/>
  <bookViews>
    <workbookView xWindow="11080" yWindow="250" windowWidth="25800" windowHeight="2023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1" i="3" l="1"/>
  <c r="J31" i="3"/>
  <c r="K30" i="3"/>
  <c r="J30" i="3"/>
  <c r="K29" i="3"/>
  <c r="J29" i="3"/>
  <c r="K28" i="3"/>
  <c r="J28" i="3"/>
  <c r="K27" i="3"/>
  <c r="J27" i="3"/>
  <c r="K26" i="3"/>
  <c r="J26" i="3"/>
  <c r="K25" i="3"/>
  <c r="J25" i="3"/>
  <c r="K24" i="3"/>
  <c r="J24" i="3"/>
  <c r="K23" i="3"/>
  <c r="J23" i="3"/>
  <c r="K22" i="3"/>
  <c r="J22" i="3"/>
  <c r="K21" i="3"/>
  <c r="J21" i="3"/>
  <c r="K20" i="3"/>
  <c r="J20" i="3"/>
  <c r="K19" i="3"/>
  <c r="J19" i="3"/>
  <c r="K18" i="3"/>
  <c r="J18" i="3"/>
  <c r="K17" i="3"/>
  <c r="J17" i="3"/>
  <c r="K16" i="3"/>
  <c r="J16" i="3"/>
  <c r="K15" i="3"/>
  <c r="J15" i="3"/>
  <c r="K14" i="3"/>
  <c r="J14" i="3"/>
  <c r="K13" i="3"/>
  <c r="J13" i="3"/>
  <c r="K12" i="3"/>
  <c r="J12" i="3"/>
  <c r="K11" i="3"/>
  <c r="J11" i="3"/>
  <c r="L11" i="3" l="1"/>
  <c r="M11" i="3" s="1"/>
  <c r="L15" i="3"/>
  <c r="M15" i="3" s="1"/>
  <c r="L19" i="3"/>
  <c r="M19" i="3" s="1"/>
  <c r="L23" i="3"/>
  <c r="M23" i="3" s="1"/>
  <c r="L27" i="3"/>
  <c r="M27" i="3" s="1"/>
  <c r="L31" i="3"/>
  <c r="M31" i="3" s="1"/>
  <c r="L14" i="3"/>
  <c r="M14" i="3" s="1"/>
  <c r="L18" i="3"/>
  <c r="M18" i="3" s="1"/>
  <c r="L22" i="3"/>
  <c r="M22" i="3" s="1"/>
  <c r="L26" i="3"/>
  <c r="M26" i="3" s="1"/>
  <c r="L12" i="3"/>
  <c r="M12" i="3" s="1"/>
  <c r="L20" i="3"/>
  <c r="M20" i="3" s="1"/>
  <c r="L24" i="3"/>
  <c r="M24" i="3" s="1"/>
  <c r="L28" i="3"/>
  <c r="M28" i="3" s="1"/>
  <c r="L13" i="3"/>
  <c r="M13" i="3" s="1"/>
  <c r="L17" i="3"/>
  <c r="M17" i="3" s="1"/>
  <c r="L21" i="3"/>
  <c r="M21" i="3" s="1"/>
  <c r="L25" i="3"/>
  <c r="M25" i="3" s="1"/>
  <c r="L29" i="3"/>
  <c r="M29" i="3" s="1"/>
  <c r="L16" i="3"/>
  <c r="M16" i="3" s="1"/>
  <c r="L30" i="3"/>
  <c r="M30" i="3" s="1"/>
  <c r="K10" i="3"/>
  <c r="J10" i="3"/>
  <c r="E42" i="3"/>
  <c r="E41" i="3"/>
  <c r="E40" i="3"/>
  <c r="E39" i="3"/>
  <c r="E38" i="3"/>
  <c r="E37" i="3"/>
  <c r="B32" i="3"/>
  <c r="D8" i="3"/>
  <c r="E8" i="3"/>
  <c r="L10" i="3" l="1"/>
  <c r="M10" i="3" s="1"/>
</calcChain>
</file>

<file path=xl/sharedStrings.xml><?xml version="1.0" encoding="utf-8"?>
<sst xmlns="http://schemas.openxmlformats.org/spreadsheetml/2006/main" count="187" uniqueCount="135">
  <si>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</si>
  <si>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</si>
  <si>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</si>
  <si>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</si>
  <si>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</si>
  <si>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</si>
  <si>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</si>
  <si>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</si>
  <si>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</si>
  <si>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</si>
  <si>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</si>
  <si>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</si>
  <si>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</si>
  <si>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</si>
  <si>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</si>
  <si>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</si>
  <si>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</si>
  <si>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</si>
  <si>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</si>
  <si>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</si>
  <si>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D2500176</t>
  </si>
  <si>
    <t>1</t>
  </si>
  <si>
    <t>RelayBypass8.PrjPcb</t>
  </si>
  <si>
    <t>2</t>
  </si>
  <si>
    <t/>
  </si>
  <si>
    <t>6/23/2025</t>
  </si>
  <si>
    <t>5:43 PM</t>
  </si>
  <si>
    <t>Quantity</t>
  </si>
  <si>
    <t>Distributor</t>
  </si>
  <si>
    <t>Digi-Key</t>
  </si>
  <si>
    <t>McMaster-Carr</t>
  </si>
  <si>
    <t>None</t>
  </si>
  <si>
    <t>Part Number</t>
  </si>
  <si>
    <t>36-708-ND</t>
  </si>
  <si>
    <t>490-GRM3195C1H104JA05DCT-ND</t>
  </si>
  <si>
    <t>445-C5750X7R1V476M230KCCT-ND</t>
  </si>
  <si>
    <t>311-1140-1-ND</t>
  </si>
  <si>
    <t>RS2G-E3/52TGICT-ND</t>
  </si>
  <si>
    <t>90272A108</t>
  </si>
  <si>
    <t>91113A005</t>
  </si>
  <si>
    <t>90480A005</t>
  </si>
  <si>
    <t>SAM12310-ND</t>
  </si>
  <si>
    <t>PB1091CT-ND</t>
  </si>
  <si>
    <t>609-4954-ND</t>
  </si>
  <si>
    <t>609-6160-ND</t>
  </si>
  <si>
    <t>609-5194-ND</t>
  </si>
  <si>
    <t>S9337-ND</t>
  </si>
  <si>
    <t>311-100KCRCT-ND</t>
  </si>
  <si>
    <t>5006K-ND</t>
  </si>
  <si>
    <t>5005K-ND</t>
  </si>
  <si>
    <t>LM2940CSX-5/NOPBCT-ND</t>
  </si>
  <si>
    <t>296-4651-1-ND</t>
  </si>
  <si>
    <t>LM2940CSX-12/NOPBCT-ND</t>
  </si>
  <si>
    <t>296-DRV8220DRLRCT-ND</t>
  </si>
  <si>
    <t>Comment</t>
  </si>
  <si>
    <t>Bracket</t>
  </si>
  <si>
    <t>NL</t>
  </si>
  <si>
    <t>100n</t>
  </si>
  <si>
    <t>47u</t>
  </si>
  <si>
    <t>RS2G</t>
  </si>
  <si>
    <t>#4 screw, 3/8"</t>
  </si>
  <si>
    <t>#4 lock washer</t>
  </si>
  <si>
    <t>#4 nut</t>
  </si>
  <si>
    <t>TSW-104-07-L-T</t>
  </si>
  <si>
    <t>IM46GR</t>
  </si>
  <si>
    <t>DB9M</t>
  </si>
  <si>
    <t>DB9F</t>
  </si>
  <si>
    <t>DB15M</t>
  </si>
  <si>
    <t>Jumper</t>
  </si>
  <si>
    <t>100K</t>
  </si>
  <si>
    <t>GND</t>
  </si>
  <si>
    <t>VCC, VR</t>
  </si>
  <si>
    <t>LM2940CSX-5</t>
  </si>
  <si>
    <t>SN74AHCT123APWR</t>
  </si>
  <si>
    <t>LM2940CSX-12</t>
  </si>
  <si>
    <t>DRV8220DRLR</t>
  </si>
  <si>
    <t>Description</t>
  </si>
  <si>
    <t>Keystone Electronics right-angle 6-32 steel, 708</t>
  </si>
  <si>
    <t>Capacitor, surface mount</t>
  </si>
  <si>
    <t>Single diode</t>
  </si>
  <si>
    <t>Mounting hardware</t>
  </si>
  <si>
    <t>Header for jumpers</t>
  </si>
  <si>
    <t>Dual-pole dual-throw relay, bistable</t>
  </si>
  <si>
    <t>Plug Assembly, 9 Position, Right Angle, .318 Series</t>
  </si>
  <si>
    <t>Receptacle Assembly, 9 Position, Right Angle, .318 Series</t>
  </si>
  <si>
    <t>Plug Assembly, 15 Position, Straight, .318 Series</t>
  </si>
  <si>
    <t>Resistor, surface mount</t>
  </si>
  <si>
    <t>Testpoint, black</t>
  </si>
  <si>
    <t>Testpoint, red</t>
  </si>
  <si>
    <t>1A Low Dropout Regulator, 3-pin TO-263</t>
  </si>
  <si>
    <t>Dual Retriggerable Monostable Multivibrators, PW0016A, LARGE T&amp;R</t>
  </si>
  <si>
    <t>Integrated Circuit</t>
  </si>
  <si>
    <t>Designator</t>
  </si>
  <si>
    <t>B1, B2</t>
  </si>
  <si>
    <t>C1rA, C1rB, C1rC, C1rD, C1rE, C1rF, C1rG, C1rH, C2rA, C2rB, C2rC, C2rD, C2rE, C2rF, C2rG, C2rH</t>
  </si>
  <si>
    <t>C3, C4, C5, C6</t>
  </si>
  <si>
    <t>C3rA, C3rB, C3rC, C3rD, C3rE, C3rF, C3rG, C3rH, C7A, C7B, C7C, C7D, C7E, C7F, C7G, C7H</t>
  </si>
  <si>
    <t>D1, D2, D3, D4</t>
  </si>
  <si>
    <t>H1, H2, H7, H8</t>
  </si>
  <si>
    <t>H3, H4, H9, H10</t>
  </si>
  <si>
    <t>H5, H6, H11, H12</t>
  </si>
  <si>
    <t>J1, J2, J3, J4</t>
  </si>
  <si>
    <t>K1A, K1B, K2A, K2B, K3A, K3B, K4A, K4B, K5A, K5B, K6A, K6B, K7A, K7B, K8A, K8B</t>
  </si>
  <si>
    <t>P1, P2, P5, P6</t>
  </si>
  <si>
    <t>P3, P4, P7, P8</t>
  </si>
  <si>
    <t>P9</t>
  </si>
  <si>
    <t>PN1, PN2, PN3, PN4, PN5, PN6, PN7, PN8, PN9, PN10, PN11, PN12, PN13, PN14, PN15, PN16</t>
  </si>
  <si>
    <t>R1rA, R1rB, R1rC, R1rD, R1rE, R1rF, R1rG, R1rH, R2rA, R2rB, R2rC, R2rD, R2rE, R2rF, R2rG, R2rH</t>
  </si>
  <si>
    <t>R3, R4</t>
  </si>
  <si>
    <t>TP1, TP2, TP4, TP6</t>
  </si>
  <si>
    <t>TP3, TP5</t>
  </si>
  <si>
    <t>U1</t>
  </si>
  <si>
    <t>U1rA, U1rB, U1rC, U1rD, U1rE, U1rF, U1rG, U1rH</t>
  </si>
  <si>
    <t>U2</t>
  </si>
  <si>
    <t>U3A, U3B, U3C, U3D, U3E, U3F, U3G, U3H</t>
  </si>
  <si>
    <t>Footprint</t>
  </si>
  <si>
    <t>Bracket-RA_708</t>
  </si>
  <si>
    <t>CC3216-1206</t>
  </si>
  <si>
    <t>CC5650-2220</t>
  </si>
  <si>
    <t>CC2013-0805</t>
  </si>
  <si>
    <t>DO-SMB</t>
  </si>
  <si>
    <t>SAMTEC_TSW-104-07-L-T</t>
  </si>
  <si>
    <t>RELAY_IMG</t>
  </si>
  <si>
    <t>DB9M-RA</t>
  </si>
  <si>
    <t>DB9F-RA</t>
  </si>
  <si>
    <t>DB15M-ST</t>
  </si>
  <si>
    <t>CR2012-0805</t>
  </si>
  <si>
    <t>TP1-BLK</t>
  </si>
  <si>
    <t>TP1-RED</t>
  </si>
  <si>
    <t>TS3B_N</t>
  </si>
  <si>
    <t>TSSOP16</t>
  </si>
  <si>
    <t>SOTFL50P160X60-6N</t>
  </si>
  <si>
    <t>Assembly Type</t>
  </si>
  <si>
    <t>M</t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</si>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</sst>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</cellXfs>
  <cellStyles count="1">
    <cellStyle name="Normal" xfId="0" builtinId="0"/>
  </cellStyles>
  <dxfs count="18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M32" totalsRowShown="0" headerRowDxfId="17" dataDxfId="15" headerRowBorderDxfId="16" tableBorderDxfId="14">
  <autoFilter ref="B9:M32" xr:uid="{00000000-0009-0000-0100-000002000000}"/>
  <tableColumns count="12">
    <tableColumn id="1" xr3:uid="{00000000-0010-0000-0000-000001000000}" name="Quantity" dataDxfId="13"/>
    <tableColumn id="2" xr3:uid="{00000000-0010-0000-0000-000002000000}" name="Distributor" dataDxfId="12"/>
    <tableColumn id="3" xr3:uid="{00000000-0010-0000-0000-000003000000}" name="Part Number" dataDxfId="11"/>
    <tableColumn id="4" xr3:uid="{00000000-0010-0000-0000-000004000000}" name="Comment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42"/>
  <sheetViews>
    <sheetView showGridLines="0" tabSelected="1" zoomScaleNormal="100" workbookViewId="0">
      <selection activeCell="D19" sqref="D19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3" width="18.54296875" style="3" customWidth="1"/>
    <col min="4" max="4" width="24.81640625" style="1" customWidth="1"/>
    <col min="5" max="5" width="18" style="1" customWidth="1"/>
    <col min="6" max="6" width="30.7265625" style="1" customWidth="1"/>
    <col min="7" max="7" width="40.7265625" style="1" customWidth="1"/>
    <col min="8" max="8" width="17.26953125" style="1" customWidth="1"/>
    <col min="9" max="9" width="5.453125" style="1" customWidth="1"/>
    <col min="10" max="10" width="7" style="1" customWidth="1"/>
    <col min="11" max="11" width="8.7265625" style="1" customWidth="1"/>
    <col min="12" max="12" width="6.7265625" style="1" customWidth="1"/>
    <col min="13" max="13" width="12.54296875" style="1" customWidth="1"/>
    <col min="14" max="16384" width="9.1796875" style="1"/>
  </cols>
  <sheetData>
    <row r="1" spans="1:13" ht="4.5" customHeight="1" thickBot="1" x14ac:dyDescent="0.3">
      <c r="A1" s="14"/>
      <c r="B1" s="14"/>
      <c r="C1" s="14"/>
      <c r="D1" s="14"/>
      <c r="E1" s="14"/>
      <c r="F1" s="14"/>
      <c r="G1" s="14"/>
      <c r="H1" s="14"/>
    </row>
    <row r="2" spans="1:13" ht="37.5" customHeight="1" x14ac:dyDescent="0.25">
      <c r="A2" s="13"/>
      <c r="B2" s="25" t="s">
        <v>14</v>
      </c>
      <c r="C2" s="26"/>
      <c r="D2" s="18"/>
      <c r="E2" s="22" t="s">
        <v>13</v>
      </c>
      <c r="F2" s="18"/>
      <c r="G2" s="49" t="s">
        <v>20</v>
      </c>
      <c r="H2" s="22" t="s">
        <v>12</v>
      </c>
      <c r="I2" s="50" t="s">
        <v>21</v>
      </c>
      <c r="J2" s="23"/>
      <c r="K2" s="23"/>
      <c r="L2" s="23"/>
      <c r="M2" s="19"/>
    </row>
    <row r="3" spans="1:13" ht="23.25" customHeight="1" x14ac:dyDescent="0.35">
      <c r="A3" s="13"/>
      <c r="B3" s="12"/>
      <c r="C3" s="5"/>
      <c r="D3" s="17"/>
      <c r="E3" s="4"/>
      <c r="F3" s="4"/>
      <c r="G3" s="4"/>
      <c r="H3" s="4"/>
      <c r="M3" s="24"/>
    </row>
    <row r="4" spans="1:13" ht="17.25" customHeight="1" x14ac:dyDescent="0.35">
      <c r="A4" s="13"/>
      <c r="B4" s="12" t="s">
        <v>0</v>
      </c>
      <c r="C4" s="5"/>
      <c r="D4" s="51" t="s">
        <v>22</v>
      </c>
      <c r="E4" s="8"/>
      <c r="F4" s="6"/>
      <c r="G4" s="55" t="s">
        <v>15</v>
      </c>
      <c r="H4" s="56"/>
      <c r="I4" s="52" t="s">
        <v>23</v>
      </c>
      <c r="J4" s="37"/>
      <c r="K4" s="37"/>
      <c r="L4" s="37"/>
      <c r="M4" s="24"/>
    </row>
    <row r="5" spans="1:13" ht="17.25" customHeight="1" x14ac:dyDescent="0.35">
      <c r="A5" s="13"/>
      <c r="B5" s="12" t="s">
        <v>11</v>
      </c>
      <c r="C5" s="5"/>
      <c r="D5" s="53" t="s">
        <v>24</v>
      </c>
      <c r="E5" s="15"/>
      <c r="F5" s="6"/>
      <c r="G5" s="6"/>
      <c r="H5" s="6"/>
      <c r="M5" s="24"/>
    </row>
    <row r="6" spans="1:13" ht="13" x14ac:dyDescent="0.3">
      <c r="A6" s="13"/>
      <c r="B6" s="9"/>
      <c r="C6" s="7"/>
      <c r="D6" s="10"/>
      <c r="E6" s="8"/>
      <c r="F6" s="6"/>
      <c r="G6" s="6"/>
      <c r="H6" s="6"/>
      <c r="M6" s="24"/>
    </row>
    <row r="7" spans="1:13" ht="15.75" customHeight="1" x14ac:dyDescent="0.25">
      <c r="A7" s="13"/>
      <c r="B7" s="11" t="s">
        <v>2</v>
      </c>
      <c r="D7" s="54" t="s">
        <v>25</v>
      </c>
      <c r="E7" s="54" t="s">
        <v>26</v>
      </c>
      <c r="F7" s="11"/>
      <c r="G7" s="11"/>
      <c r="H7" s="11"/>
      <c r="M7" s="24"/>
    </row>
    <row r="8" spans="1:13" ht="15.75" customHeight="1" x14ac:dyDescent="0.25">
      <c r="A8" s="13"/>
      <c r="B8" s="6" t="s">
        <v>1</v>
      </c>
      <c r="D8" s="32">
        <f ca="1">TODAY()</f>
        <v>45831</v>
      </c>
      <c r="E8" s="57">
        <f ca="1">NOW()</f>
        <v>45831.738764467591</v>
      </c>
      <c r="F8" s="58"/>
      <c r="G8" s="11"/>
      <c r="H8" s="11"/>
      <c r="M8" s="24"/>
    </row>
    <row r="9" spans="1:13" s="2" customFormat="1" ht="24.75" customHeight="1" x14ac:dyDescent="0.25">
      <c r="A9" s="13"/>
      <c r="B9" s="38" t="s">
        <v>27</v>
      </c>
      <c r="C9" s="39" t="s">
        <v>28</v>
      </c>
      <c r="D9" s="39" t="s">
        <v>32</v>
      </c>
      <c r="E9" s="39" t="s">
        <v>54</v>
      </c>
      <c r="F9" s="39" t="s">
        <v>76</v>
      </c>
      <c r="G9" s="40" t="s">
        <v>92</v>
      </c>
      <c r="H9" s="39" t="s">
        <v>115</v>
      </c>
      <c r="I9" s="39" t="s">
        <v>132</v>
      </c>
      <c r="J9" s="40" t="s">
        <v>17</v>
      </c>
      <c r="K9" s="40" t="s">
        <v>18</v>
      </c>
      <c r="L9" s="40" t="s">
        <v>19</v>
      </c>
      <c r="M9" s="40" t="s">
        <v>10</v>
      </c>
    </row>
    <row r="10" spans="1:13" s="2" customFormat="1" ht="20.5" x14ac:dyDescent="0.25">
      <c r="A10" s="13"/>
      <c r="B10" s="45">
        <v>2</v>
      </c>
      <c r="C10" s="46" t="s">
        <v>29</v>
      </c>
      <c r="D10" s="46" t="s">
        <v>33</v>
      </c>
      <c r="E10" s="46" t="s">
        <v>55</v>
      </c>
      <c r="F10" s="46" t="s">
        <v>77</v>
      </c>
      <c r="G10" s="46" t="s">
        <v>93</v>
      </c>
      <c r="H10" s="46" t="s">
        <v>116</v>
      </c>
      <c r="I10" s="46" t="s">
        <v>133</v>
      </c>
      <c r="J10" s="48">
        <f>+IF(OR(I10="BGA",I10="FP",I10="TH"),1,IF($I$4*B10&lt;100,5,0))</f>
        <v>5</v>
      </c>
      <c r="K10" s="47">
        <f>+IF(AND(I10="",$I$4*B10&gt;100),0.05,0)</f>
        <v>0</v>
      </c>
      <c r="L10" s="48">
        <f>+ROUNDUP($I$4*B10*K10+J10,0)</f>
        <v>5</v>
      </c>
      <c r="M10" s="41">
        <f>+IF(OR(LEFT(G10&amp;"",1)="C",LEFT(G10&amp;"",1)="R"),ROUNDUP($I$4*B10+L10,-1),$I$4*B10+L10)</f>
        <v>9</v>
      </c>
    </row>
    <row r="11" spans="1:13" s="2" customFormat="1" ht="20.5" x14ac:dyDescent="0.25">
      <c r="A11" s="13"/>
      <c r="B11" s="45">
        <v>16</v>
      </c>
      <c r="C11" s="46" t="s">
        <v>29</v>
      </c>
      <c r="D11" s="46" t="s">
        <v>34</v>
      </c>
      <c r="E11" s="46" t="s">
        <v>57</v>
      </c>
      <c r="F11" s="46" t="s">
        <v>78</v>
      </c>
      <c r="G11" s="46" t="s">
        <v>94</v>
      </c>
      <c r="H11" s="46" t="s">
        <v>117</v>
      </c>
      <c r="I11" s="46" t="s">
        <v>24</v>
      </c>
      <c r="J11" s="48">
        <f>+IF(OR(I11="BGA",I11="FP",I11="TH"),1,IF($I$4*B11&lt;100,5,0))</f>
        <v>5</v>
      </c>
      <c r="K11" s="47">
        <f>+IF(AND(I11="",$I$4*B11&gt;100),0.05,0)</f>
        <v>0</v>
      </c>
      <c r="L11" s="48">
        <f>+ROUNDUP($I$4*B11*K11+J11,0)</f>
        <v>5</v>
      </c>
      <c r="M11" s="41">
        <f>+IF(OR(LEFT(G11&amp;"",1)="C",LEFT(G11&amp;"",1)="R"),ROUNDUP($I$4*B11+L11,-1),$I$4*B11+L11)</f>
        <v>40</v>
      </c>
    </row>
    <row r="12" spans="1:13" s="2" customFormat="1" ht="20.5" x14ac:dyDescent="0.25">
      <c r="A12" s="13"/>
      <c r="B12" s="45">
        <v>4</v>
      </c>
      <c r="C12" s="46" t="s">
        <v>29</v>
      </c>
      <c r="D12" s="46" t="s">
        <v>35</v>
      </c>
      <c r="E12" s="46" t="s">
        <v>58</v>
      </c>
      <c r="F12" s="46" t="s">
        <v>78</v>
      </c>
      <c r="G12" s="46" t="s">
        <v>95</v>
      </c>
      <c r="H12" s="46" t="s">
        <v>118</v>
      </c>
      <c r="I12" s="46" t="s">
        <v>24</v>
      </c>
      <c r="J12" s="48">
        <f t="shared" ref="J12" si="0">+IF(OR(I12="BGA",I12="FP",I12="TH"),1,IF($I$4*B12&lt;100,5,0))</f>
        <v>5</v>
      </c>
      <c r="K12" s="47">
        <f t="shared" ref="K12" si="1">+IF(AND(I12="",$I$4*B12&gt;100),0.05,0)</f>
        <v>0</v>
      </c>
      <c r="L12" s="48">
        <f t="shared" ref="L12" si="2">+ROUNDUP($I$4*B12*K12+J12,0)</f>
        <v>5</v>
      </c>
      <c r="M12" s="41">
        <f t="shared" ref="M12" si="3">+IF(OR(LEFT(G12&amp;"",1)="C",LEFT(G12&amp;"",1)="R"),ROUNDUP($I$4*B12+L12,-1),$I$4*B12+L12)</f>
        <v>20</v>
      </c>
    </row>
    <row r="13" spans="1:13" s="2" customFormat="1" ht="20.5" x14ac:dyDescent="0.25">
      <c r="A13" s="13"/>
      <c r="B13" s="45">
        <v>16</v>
      </c>
      <c r="C13" s="46" t="s">
        <v>29</v>
      </c>
      <c r="D13" s="46" t="s">
        <v>36</v>
      </c>
      <c r="E13" s="46" t="s">
        <v>57</v>
      </c>
      <c r="F13" s="46" t="s">
        <v>78</v>
      </c>
      <c r="G13" s="46" t="s">
        <v>96</v>
      </c>
      <c r="H13" s="46" t="s">
        <v>119</v>
      </c>
      <c r="I13" s="46" t="s">
        <v>24</v>
      </c>
      <c r="J13" s="48">
        <f>+IF(OR(I13="BGA",I13="FP",I13="TH"),1,IF($I$4*B13&lt;100,5,0))</f>
        <v>5</v>
      </c>
      <c r="K13" s="47">
        <f>+IF(AND(I13="",$I$4*B13&gt;100),0.05,0)</f>
        <v>0</v>
      </c>
      <c r="L13" s="48">
        <f>+ROUNDUP($I$4*B13*K13+J13,0)</f>
        <v>5</v>
      </c>
      <c r="M13" s="41">
        <f>+IF(OR(LEFT(G13&amp;"",1)="C",LEFT(G13&amp;"",1)="R"),ROUNDUP($I$4*B13+L13,-1),$I$4*B13+L13)</f>
        <v>40</v>
      </c>
    </row>
    <row r="14" spans="1:13" s="2" customFormat="1" ht="13" x14ac:dyDescent="0.25">
      <c r="A14" s="13"/>
      <c r="B14" s="45">
        <v>4</v>
      </c>
      <c r="C14" s="46" t="s">
        <v>29</v>
      </c>
      <c r="D14" s="46" t="s">
        <v>37</v>
      </c>
      <c r="E14" s="46" t="s">
        <v>59</v>
      </c>
      <c r="F14" s="46" t="s">
        <v>79</v>
      </c>
      <c r="G14" s="46" t="s">
        <v>97</v>
      </c>
      <c r="H14" s="46" t="s">
        <v>120</v>
      </c>
      <c r="I14" s="46" t="s">
        <v>24</v>
      </c>
      <c r="J14" s="48">
        <f t="shared" ref="J14" si="4">+IF(OR(I14="BGA",I14="FP",I14="TH"),1,IF($I$4*B14&lt;100,5,0))</f>
        <v>5</v>
      </c>
      <c r="K14" s="47">
        <f t="shared" ref="K14" si="5">+IF(AND(I14="",$I$4*B14&gt;100),0.05,0)</f>
        <v>0</v>
      </c>
      <c r="L14" s="48">
        <f t="shared" ref="L14" si="6">+ROUNDUP($I$4*B14*K14+J14,0)</f>
        <v>5</v>
      </c>
      <c r="M14" s="41">
        <f t="shared" ref="M14" si="7">+IF(OR(LEFT(G14&amp;"",1)="C",LEFT(G14&amp;"",1)="R"),ROUNDUP($I$4*B14+L14,-1),$I$4*B14+L14)</f>
        <v>13</v>
      </c>
    </row>
    <row r="15" spans="1:13" s="2" customFormat="1" ht="13" x14ac:dyDescent="0.25">
      <c r="A15" s="13"/>
      <c r="B15" s="45">
        <v>4</v>
      </c>
      <c r="C15" s="46" t="s">
        <v>30</v>
      </c>
      <c r="D15" s="46" t="s">
        <v>38</v>
      </c>
      <c r="E15" s="46" t="s">
        <v>60</v>
      </c>
      <c r="F15" s="46" t="s">
        <v>80</v>
      </c>
      <c r="G15" s="46" t="s">
        <v>98</v>
      </c>
      <c r="H15" s="46" t="s">
        <v>24</v>
      </c>
      <c r="I15" s="46" t="s">
        <v>133</v>
      </c>
      <c r="J15" s="48">
        <f>+IF(OR(I15="BGA",I15="FP",I15="TH"),1,IF($I$4*B15&lt;100,5,0))</f>
        <v>5</v>
      </c>
      <c r="K15" s="47">
        <f>+IF(AND(I15="",$I$4*B15&gt;100),0.05,0)</f>
        <v>0</v>
      </c>
      <c r="L15" s="48">
        <f>+ROUNDUP($I$4*B15*K15+J15,0)</f>
        <v>5</v>
      </c>
      <c r="M15" s="41">
        <f>+IF(OR(LEFT(G15&amp;"",1)="C",LEFT(G15&amp;"",1)="R"),ROUNDUP($I$4*B15+L15,-1),$I$4*B15+L15)</f>
        <v>13</v>
      </c>
    </row>
    <row r="16" spans="1:13" s="2" customFormat="1" ht="13" x14ac:dyDescent="0.25">
      <c r="A16" s="13"/>
      <c r="B16" s="45">
        <v>4</v>
      </c>
      <c r="C16" s="46" t="s">
        <v>30</v>
      </c>
      <c r="D16" s="46" t="s">
        <v>39</v>
      </c>
      <c r="E16" s="46" t="s">
        <v>61</v>
      </c>
      <c r="F16" s="46" t="s">
        <v>80</v>
      </c>
      <c r="G16" s="46" t="s">
        <v>99</v>
      </c>
      <c r="H16" s="46" t="s">
        <v>24</v>
      </c>
      <c r="I16" s="46" t="s">
        <v>133</v>
      </c>
      <c r="J16" s="48">
        <f t="shared" ref="J16" si="8">+IF(OR(I16="BGA",I16="FP",I16="TH"),1,IF($I$4*B16&lt;100,5,0))</f>
        <v>5</v>
      </c>
      <c r="K16" s="47">
        <f t="shared" ref="K16" si="9">+IF(AND(I16="",$I$4*B16&gt;100),0.05,0)</f>
        <v>0</v>
      </c>
      <c r="L16" s="48">
        <f t="shared" ref="L16" si="10">+ROUNDUP($I$4*B16*K16+J16,0)</f>
        <v>5</v>
      </c>
      <c r="M16" s="41">
        <f t="shared" ref="M16" si="11">+IF(OR(LEFT(G16&amp;"",1)="C",LEFT(G16&amp;"",1)="R"),ROUNDUP($I$4*B16+L16,-1),$I$4*B16+L16)</f>
        <v>13</v>
      </c>
    </row>
    <row r="17" spans="1:13" s="2" customFormat="1" ht="13" x14ac:dyDescent="0.25">
      <c r="A17" s="13"/>
      <c r="B17" s="45">
        <v>4</v>
      </c>
      <c r="C17" s="46" t="s">
        <v>30</v>
      </c>
      <c r="D17" s="46" t="s">
        <v>40</v>
      </c>
      <c r="E17" s="46" t="s">
        <v>62</v>
      </c>
      <c r="F17" s="46" t="s">
        <v>80</v>
      </c>
      <c r="G17" s="46" t="s">
        <v>100</v>
      </c>
      <c r="H17" s="46" t="s">
        <v>24</v>
      </c>
      <c r="I17" s="46" t="s">
        <v>133</v>
      </c>
      <c r="J17" s="48">
        <f>+IF(OR(I17="BGA",I17="FP",I17="TH"),1,IF($I$4*B17&lt;100,5,0))</f>
        <v>5</v>
      </c>
      <c r="K17" s="47">
        <f>+IF(AND(I17="",$I$4*B17&gt;100),0.05,0)</f>
        <v>0</v>
      </c>
      <c r="L17" s="48">
        <f>+ROUNDUP($I$4*B17*K17+J17,0)</f>
        <v>5</v>
      </c>
      <c r="M17" s="41">
        <f>+IF(OR(LEFT(G17&amp;"",1)="C",LEFT(G17&amp;"",1)="R"),ROUNDUP($I$4*B17+L17,-1),$I$4*B17+L17)</f>
        <v>13</v>
      </c>
    </row>
    <row r="18" spans="1:13" s="2" customFormat="1" ht="20.5" x14ac:dyDescent="0.25">
      <c r="A18" s="13"/>
      <c r="B18" s="45">
        <v>4</v>
      </c>
      <c r="C18" s="46" t="s">
        <v>29</v>
      </c>
      <c r="D18" s="46" t="s">
        <v>41</v>
      </c>
      <c r="E18" s="46" t="s">
        <v>63</v>
      </c>
      <c r="F18" s="46" t="s">
        <v>81</v>
      </c>
      <c r="G18" s="46" t="s">
        <v>101</v>
      </c>
      <c r="H18" s="46" t="s">
        <v>121</v>
      </c>
      <c r="I18" s="46" t="s">
        <v>134</v>
      </c>
      <c r="J18" s="48">
        <f t="shared" ref="J18" si="12">+IF(OR(I18="BGA",I18="FP",I18="TH"),1,IF($I$4*B18&lt;100,5,0))</f>
        <v>1</v>
      </c>
      <c r="K18" s="47">
        <f t="shared" ref="K18" si="13">+IF(AND(I18="",$I$4*B18&gt;100),0.05,0)</f>
        <v>0</v>
      </c>
      <c r="L18" s="48">
        <f t="shared" ref="L18" si="14">+ROUNDUP($I$4*B18*K18+J18,0)</f>
        <v>1</v>
      </c>
      <c r="M18" s="41">
        <f t="shared" ref="M18" si="15">+IF(OR(LEFT(G18&amp;"",1)="C",LEFT(G18&amp;"",1)="R"),ROUNDUP($I$4*B18+L18,-1),$I$4*B18+L18)</f>
        <v>9</v>
      </c>
    </row>
    <row r="19" spans="1:13" s="2" customFormat="1" ht="20.5" x14ac:dyDescent="0.25">
      <c r="A19" s="13"/>
      <c r="B19" s="45">
        <v>16</v>
      </c>
      <c r="C19" s="46" t="s">
        <v>29</v>
      </c>
      <c r="D19" s="46" t="s">
        <v>42</v>
      </c>
      <c r="E19" s="46" t="s">
        <v>64</v>
      </c>
      <c r="F19" s="46" t="s">
        <v>82</v>
      </c>
      <c r="G19" s="46" t="s">
        <v>102</v>
      </c>
      <c r="H19" s="46" t="s">
        <v>122</v>
      </c>
      <c r="I19" s="46" t="s">
        <v>24</v>
      </c>
      <c r="J19" s="48">
        <f>+IF(OR(I19="BGA",I19="FP",I19="TH"),1,IF($I$4*B19&lt;100,5,0))</f>
        <v>5</v>
      </c>
      <c r="K19" s="47">
        <f>+IF(AND(I19="",$I$4*B19&gt;100),0.05,0)</f>
        <v>0</v>
      </c>
      <c r="L19" s="48">
        <f>+ROUNDUP($I$4*B19*K19+J19,0)</f>
        <v>5</v>
      </c>
      <c r="M19" s="41">
        <f>+IF(OR(LEFT(G19&amp;"",1)="C",LEFT(G19&amp;"",1)="R"),ROUNDUP($I$4*B19+L19,-1),$I$4*B19+L19)</f>
        <v>37</v>
      </c>
    </row>
    <row r="20" spans="1:13" s="2" customFormat="1" ht="20.5" x14ac:dyDescent="0.25">
      <c r="A20" s="13"/>
      <c r="B20" s="45">
        <v>4</v>
      </c>
      <c r="C20" s="46" t="s">
        <v>29</v>
      </c>
      <c r="D20" s="46" t="s">
        <v>43</v>
      </c>
      <c r="E20" s="46" t="s">
        <v>65</v>
      </c>
      <c r="F20" s="46" t="s">
        <v>83</v>
      </c>
      <c r="G20" s="46" t="s">
        <v>103</v>
      </c>
      <c r="H20" s="46" t="s">
        <v>123</v>
      </c>
      <c r="I20" s="46" t="s">
        <v>134</v>
      </c>
      <c r="J20" s="48">
        <f t="shared" ref="J20" si="16">+IF(OR(I20="BGA",I20="FP",I20="TH"),1,IF($I$4*B20&lt;100,5,0))</f>
        <v>1</v>
      </c>
      <c r="K20" s="47">
        <f t="shared" ref="K20" si="17">+IF(AND(I20="",$I$4*B20&gt;100),0.05,0)</f>
        <v>0</v>
      </c>
      <c r="L20" s="48">
        <f t="shared" ref="L20" si="18">+ROUNDUP($I$4*B20*K20+J20,0)</f>
        <v>1</v>
      </c>
      <c r="M20" s="41">
        <f t="shared" ref="M20" si="19">+IF(OR(LEFT(G20&amp;"",1)="C",LEFT(G20&amp;"",1)="R"),ROUNDUP($I$4*B20+L20,-1),$I$4*B20+L20)</f>
        <v>9</v>
      </c>
    </row>
    <row r="21" spans="1:13" s="2" customFormat="1" ht="20.5" x14ac:dyDescent="0.25">
      <c r="A21" s="13"/>
      <c r="B21" s="45">
        <v>4</v>
      </c>
      <c r="C21" s="46" t="s">
        <v>29</v>
      </c>
      <c r="D21" s="46" t="s">
        <v>44</v>
      </c>
      <c r="E21" s="46" t="s">
        <v>66</v>
      </c>
      <c r="F21" s="46" t="s">
        <v>84</v>
      </c>
      <c r="G21" s="46" t="s">
        <v>104</v>
      </c>
      <c r="H21" s="46" t="s">
        <v>124</v>
      </c>
      <c r="I21" s="46" t="s">
        <v>134</v>
      </c>
      <c r="J21" s="48">
        <f>+IF(OR(I21="BGA",I21="FP",I21="TH"),1,IF($I$4*B21&lt;100,5,0))</f>
        <v>1</v>
      </c>
      <c r="K21" s="47">
        <f>+IF(AND(I21="",$I$4*B21&gt;100),0.05,0)</f>
        <v>0</v>
      </c>
      <c r="L21" s="48">
        <f>+ROUNDUP($I$4*B21*K21+J21,0)</f>
        <v>1</v>
      </c>
      <c r="M21" s="41">
        <f>+IF(OR(LEFT(G21&amp;"",1)="C",LEFT(G21&amp;"",1)="R"),ROUNDUP($I$4*B21+L21,-1),$I$4*B21+L21)</f>
        <v>9</v>
      </c>
    </row>
    <row r="22" spans="1:13" s="2" customFormat="1" ht="20.5" x14ac:dyDescent="0.25">
      <c r="A22" s="13"/>
      <c r="B22" s="45">
        <v>1</v>
      </c>
      <c r="C22" s="46" t="s">
        <v>29</v>
      </c>
      <c r="D22" s="46" t="s">
        <v>45</v>
      </c>
      <c r="E22" s="46" t="s">
        <v>67</v>
      </c>
      <c r="F22" s="46" t="s">
        <v>85</v>
      </c>
      <c r="G22" s="46" t="s">
        <v>105</v>
      </c>
      <c r="H22" s="46" t="s">
        <v>125</v>
      </c>
      <c r="I22" s="46" t="s">
        <v>134</v>
      </c>
      <c r="J22" s="48">
        <f t="shared" ref="J22" si="20">+IF(OR(I22="BGA",I22="FP",I22="TH"),1,IF($I$4*B22&lt;100,5,0))</f>
        <v>1</v>
      </c>
      <c r="K22" s="47">
        <f t="shared" ref="K22" si="21">+IF(AND(I22="",$I$4*B22&gt;100),0.05,0)</f>
        <v>0</v>
      </c>
      <c r="L22" s="48">
        <f t="shared" ref="L22" si="22">+ROUNDUP($I$4*B22*K22+J22,0)</f>
        <v>1</v>
      </c>
      <c r="M22" s="41">
        <f t="shared" ref="M22" si="23">+IF(OR(LEFT(G22&amp;"",1)="C",LEFT(G22&amp;"",1)="R"),ROUNDUP($I$4*B22+L22,-1),$I$4*B22+L22)</f>
        <v>3</v>
      </c>
    </row>
    <row r="23" spans="1:13" s="2" customFormat="1" ht="20.5" x14ac:dyDescent="0.25">
      <c r="A23" s="13"/>
      <c r="B23" s="45">
        <v>16</v>
      </c>
      <c r="C23" s="46" t="s">
        <v>29</v>
      </c>
      <c r="D23" s="46" t="s">
        <v>46</v>
      </c>
      <c r="E23" s="46" t="s">
        <v>68</v>
      </c>
      <c r="F23" s="46" t="s">
        <v>68</v>
      </c>
      <c r="G23" s="46" t="s">
        <v>106</v>
      </c>
      <c r="H23" s="46" t="s">
        <v>24</v>
      </c>
      <c r="I23" s="46" t="s">
        <v>133</v>
      </c>
      <c r="J23" s="48">
        <f>+IF(OR(I23="BGA",I23="FP",I23="TH"),1,IF($I$4*B23&lt;100,5,0))</f>
        <v>5</v>
      </c>
      <c r="K23" s="47">
        <f>+IF(AND(I23="",$I$4*B23&gt;100),0.05,0)</f>
        <v>0</v>
      </c>
      <c r="L23" s="48">
        <f>+ROUNDUP($I$4*B23*K23+J23,0)</f>
        <v>5</v>
      </c>
      <c r="M23" s="41">
        <f>+IF(OR(LEFT(G23&amp;"",1)="C",LEFT(G23&amp;"",1)="R"),ROUNDUP($I$4*B23+L23,-1),$I$4*B23+L23)</f>
        <v>37</v>
      </c>
    </row>
    <row r="24" spans="1:13" s="2" customFormat="1" ht="20.5" x14ac:dyDescent="0.25">
      <c r="A24" s="13"/>
      <c r="B24" s="45">
        <v>16</v>
      </c>
      <c r="C24" s="46" t="s">
        <v>29</v>
      </c>
      <c r="D24" s="46" t="s">
        <v>47</v>
      </c>
      <c r="E24" s="46" t="s">
        <v>69</v>
      </c>
      <c r="F24" s="46" t="s">
        <v>86</v>
      </c>
      <c r="G24" s="46" t="s">
        <v>107</v>
      </c>
      <c r="H24" s="46" t="s">
        <v>126</v>
      </c>
      <c r="I24" s="46" t="s">
        <v>24</v>
      </c>
      <c r="J24" s="48">
        <f t="shared" ref="J24" si="24">+IF(OR(I24="BGA",I24="FP",I24="TH"),1,IF($I$4*B24&lt;100,5,0))</f>
        <v>5</v>
      </c>
      <c r="K24" s="47">
        <f t="shared" ref="K24" si="25">+IF(AND(I24="",$I$4*B24&gt;100),0.05,0)</f>
        <v>0</v>
      </c>
      <c r="L24" s="48">
        <f t="shared" ref="L24" si="26">+ROUNDUP($I$4*B24*K24+J24,0)</f>
        <v>5</v>
      </c>
      <c r="M24" s="41">
        <f t="shared" ref="M24" si="27">+IF(OR(LEFT(G24&amp;"",1)="C",LEFT(G24&amp;"",1)="R"),ROUNDUP($I$4*B24+L24,-1),$I$4*B24+L24)</f>
        <v>40</v>
      </c>
    </row>
    <row r="25" spans="1:13" s="2" customFormat="1" ht="13" x14ac:dyDescent="0.25">
      <c r="A25" s="13"/>
      <c r="B25" s="45">
        <v>2</v>
      </c>
      <c r="C25" s="46" t="s">
        <v>31</v>
      </c>
      <c r="D25" s="46" t="s">
        <v>24</v>
      </c>
      <c r="E25" s="46" t="s">
        <v>56</v>
      </c>
      <c r="F25" s="46" t="s">
        <v>86</v>
      </c>
      <c r="G25" s="46" t="s">
        <v>108</v>
      </c>
      <c r="H25" s="46" t="s">
        <v>126</v>
      </c>
      <c r="I25" s="46" t="s">
        <v>24</v>
      </c>
      <c r="J25" s="48">
        <f>+IF(OR(I25="BGA",I25="FP",I25="TH"),1,IF($I$4*B25&lt;100,5,0))</f>
        <v>5</v>
      </c>
      <c r="K25" s="47">
        <f>+IF(AND(I25="",$I$4*B25&gt;100),0.05,0)</f>
        <v>0</v>
      </c>
      <c r="L25" s="48">
        <f>+ROUNDUP($I$4*B25*K25+J25,0)</f>
        <v>5</v>
      </c>
      <c r="M25" s="41">
        <f>+IF(OR(LEFT(G25&amp;"",1)="C",LEFT(G25&amp;"",1)="R"),ROUNDUP($I$4*B25+L25,-1),$I$4*B25+L25)</f>
        <v>10</v>
      </c>
    </row>
    <row r="26" spans="1:13" s="2" customFormat="1" ht="13" x14ac:dyDescent="0.25">
      <c r="A26" s="13"/>
      <c r="B26" s="45">
        <v>4</v>
      </c>
      <c r="C26" s="46" t="s">
        <v>29</v>
      </c>
      <c r="D26" s="46" t="s">
        <v>48</v>
      </c>
      <c r="E26" s="46" t="s">
        <v>70</v>
      </c>
      <c r="F26" s="46" t="s">
        <v>87</v>
      </c>
      <c r="G26" s="46" t="s">
        <v>109</v>
      </c>
      <c r="H26" s="46" t="s">
        <v>127</v>
      </c>
      <c r="I26" s="46" t="s">
        <v>134</v>
      </c>
      <c r="J26" s="48">
        <f t="shared" ref="J26" si="28">+IF(OR(I26="BGA",I26="FP",I26="TH"),1,IF($I$4*B26&lt;100,5,0))</f>
        <v>1</v>
      </c>
      <c r="K26" s="47">
        <f t="shared" ref="K26" si="29">+IF(AND(I26="",$I$4*B26&gt;100),0.05,0)</f>
        <v>0</v>
      </c>
      <c r="L26" s="48">
        <f t="shared" ref="L26" si="30">+ROUNDUP($I$4*B26*K26+J26,0)</f>
        <v>1</v>
      </c>
      <c r="M26" s="41">
        <f t="shared" ref="M26" si="31">+IF(OR(LEFT(G26&amp;"",1)="C",LEFT(G26&amp;"",1)="R"),ROUNDUP($I$4*B26+L26,-1),$I$4*B26+L26)</f>
        <v>9</v>
      </c>
    </row>
    <row r="27" spans="1:13" s="2" customFormat="1" ht="13" x14ac:dyDescent="0.25">
      <c r="A27" s="13"/>
      <c r="B27" s="45">
        <v>2</v>
      </c>
      <c r="C27" s="46" t="s">
        <v>29</v>
      </c>
      <c r="D27" s="46" t="s">
        <v>49</v>
      </c>
      <c r="E27" s="46" t="s">
        <v>71</v>
      </c>
      <c r="F27" s="46" t="s">
        <v>88</v>
      </c>
      <c r="G27" s="46" t="s">
        <v>110</v>
      </c>
      <c r="H27" s="46" t="s">
        <v>128</v>
      </c>
      <c r="I27" s="46" t="s">
        <v>134</v>
      </c>
      <c r="J27" s="48">
        <f>+IF(OR(I27="BGA",I27="FP",I27="TH"),1,IF($I$4*B27&lt;100,5,0))</f>
        <v>1</v>
      </c>
      <c r="K27" s="47">
        <f>+IF(AND(I27="",$I$4*B27&gt;100),0.05,0)</f>
        <v>0</v>
      </c>
      <c r="L27" s="48">
        <f>+ROUNDUP($I$4*B27*K27+J27,0)</f>
        <v>1</v>
      </c>
      <c r="M27" s="41">
        <f>+IF(OR(LEFT(G27&amp;"",1)="C",LEFT(G27&amp;"",1)="R"),ROUNDUP($I$4*B27+L27,-1),$I$4*B27+L27)</f>
        <v>5</v>
      </c>
    </row>
    <row r="28" spans="1:13" s="2" customFormat="1" ht="13" x14ac:dyDescent="0.25">
      <c r="A28" s="13"/>
      <c r="B28" s="45">
        <v>1</v>
      </c>
      <c r="C28" s="46" t="s">
        <v>29</v>
      </c>
      <c r="D28" s="46" t="s">
        <v>50</v>
      </c>
      <c r="E28" s="46" t="s">
        <v>72</v>
      </c>
      <c r="F28" s="46" t="s">
        <v>89</v>
      </c>
      <c r="G28" s="46" t="s">
        <v>111</v>
      </c>
      <c r="H28" s="46" t="s">
        <v>129</v>
      </c>
      <c r="I28" s="46"/>
      <c r="J28" s="48">
        <f t="shared" ref="J28" si="32">+IF(OR(I28="BGA",I28="FP",I28="TH"),1,IF($I$4*B28&lt;100,5,0))</f>
        <v>5</v>
      </c>
      <c r="K28" s="47">
        <f t="shared" ref="K28" si="33">+IF(AND(I28="",$I$4*B28&gt;100),0.05,0)</f>
        <v>0</v>
      </c>
      <c r="L28" s="48">
        <f t="shared" ref="L28" si="34">+ROUNDUP($I$4*B28*K28+J28,0)</f>
        <v>5</v>
      </c>
      <c r="M28" s="41">
        <f t="shared" ref="M28" si="35">+IF(OR(LEFT(G28&amp;"",1)="C",LEFT(G28&amp;"",1)="R"),ROUNDUP($I$4*B28+L28,-1),$I$4*B28+L28)</f>
        <v>7</v>
      </c>
    </row>
    <row r="29" spans="1:13" s="2" customFormat="1" ht="20.5" x14ac:dyDescent="0.25">
      <c r="A29" s="13"/>
      <c r="B29" s="45">
        <v>8</v>
      </c>
      <c r="C29" s="46" t="s">
        <v>29</v>
      </c>
      <c r="D29" s="46" t="s">
        <v>51</v>
      </c>
      <c r="E29" s="46" t="s">
        <v>73</v>
      </c>
      <c r="F29" s="46" t="s">
        <v>90</v>
      </c>
      <c r="G29" s="46" t="s">
        <v>112</v>
      </c>
      <c r="H29" s="46" t="s">
        <v>130</v>
      </c>
      <c r="I29" s="46" t="s">
        <v>24</v>
      </c>
      <c r="J29" s="48">
        <f>+IF(OR(I29="BGA",I29="FP",I29="TH"),1,IF($I$4*B29&lt;100,5,0))</f>
        <v>5</v>
      </c>
      <c r="K29" s="47">
        <f>+IF(AND(I29="",$I$4*B29&gt;100),0.05,0)</f>
        <v>0</v>
      </c>
      <c r="L29" s="48">
        <f>+ROUNDUP($I$4*B29*K29+J29,0)</f>
        <v>5</v>
      </c>
      <c r="M29" s="41">
        <f>+IF(OR(LEFT(G29&amp;"",1)="C",LEFT(G29&amp;"",1)="R"),ROUNDUP($I$4*B29+L29,-1),$I$4*B29+L29)</f>
        <v>21</v>
      </c>
    </row>
    <row r="30" spans="1:13" s="2" customFormat="1" ht="13" x14ac:dyDescent="0.25">
      <c r="A30" s="13"/>
      <c r="B30" s="45">
        <v>1</v>
      </c>
      <c r="C30" s="46" t="s">
        <v>29</v>
      </c>
      <c r="D30" s="46" t="s">
        <v>52</v>
      </c>
      <c r="E30" s="46" t="s">
        <v>74</v>
      </c>
      <c r="F30" s="46" t="s">
        <v>89</v>
      </c>
      <c r="G30" s="46" t="s">
        <v>113</v>
      </c>
      <c r="H30" s="46" t="s">
        <v>129</v>
      </c>
      <c r="I30" s="46"/>
      <c r="J30" s="48">
        <f t="shared" ref="J30" si="36">+IF(OR(I30="BGA",I30="FP",I30="TH"),1,IF($I$4*B30&lt;100,5,0))</f>
        <v>5</v>
      </c>
      <c r="K30" s="47">
        <f t="shared" ref="K30" si="37">+IF(AND(I30="",$I$4*B30&gt;100),0.05,0)</f>
        <v>0</v>
      </c>
      <c r="L30" s="48">
        <f t="shared" ref="L30" si="38">+ROUNDUP($I$4*B30*K30+J30,0)</f>
        <v>5</v>
      </c>
      <c r="M30" s="41">
        <f t="shared" ref="M30" si="39">+IF(OR(LEFT(G30&amp;"",1)="C",LEFT(G30&amp;"",1)="R"),ROUNDUP($I$4*B30+L30,-1),$I$4*B30+L30)</f>
        <v>7</v>
      </c>
    </row>
    <row r="31" spans="1:13" x14ac:dyDescent="0.25">
      <c r="A31" s="13"/>
      <c r="B31" s="45">
        <v>8</v>
      </c>
      <c r="C31" s="46" t="s">
        <v>29</v>
      </c>
      <c r="D31" s="46" t="s">
        <v>53</v>
      </c>
      <c r="E31" s="46" t="s">
        <v>75</v>
      </c>
      <c r="F31" s="46" t="s">
        <v>91</v>
      </c>
      <c r="G31" s="46" t="s">
        <v>114</v>
      </c>
      <c r="H31" s="46" t="s">
        <v>131</v>
      </c>
      <c r="I31" s="46" t="s">
        <v>24</v>
      </c>
      <c r="J31" s="48">
        <f>+IF(OR(I31="BGA",I31="FP",I31="TH"),1,IF($I$4*B31&lt;100,5,0))</f>
        <v>5</v>
      </c>
      <c r="K31" s="47">
        <f>+IF(AND(I31="",$I$4*B31&gt;100),0.05,0)</f>
        <v>0</v>
      </c>
      <c r="L31" s="48">
        <f>+ROUNDUP($I$4*B31*K31+J31,0)</f>
        <v>5</v>
      </c>
      <c r="M31" s="41">
        <f>+IF(OR(LEFT(G31&amp;"",1)="C",LEFT(G31&amp;"",1)="R"),ROUNDUP($I$4*B31+L31,-1),$I$4*B31+L31)</f>
        <v>21</v>
      </c>
    </row>
    <row r="32" spans="1:13" x14ac:dyDescent="0.25">
      <c r="A32" s="14"/>
      <c r="B32" s="42">
        <f>SUM(B10:B31)</f>
        <v>141</v>
      </c>
      <c r="C32" s="43" t="s">
        <v>9</v>
      </c>
      <c r="D32" s="43"/>
      <c r="E32" s="43"/>
      <c r="F32" s="43"/>
      <c r="G32" s="44"/>
      <c r="H32" s="44"/>
      <c r="I32" s="43"/>
      <c r="J32" s="44"/>
      <c r="K32" s="44"/>
      <c r="L32" s="44"/>
      <c r="M32" s="44"/>
    </row>
    <row r="33" spans="2:7" x14ac:dyDescent="0.25">
      <c r="B33" s="1"/>
      <c r="C33" s="1"/>
    </row>
    <row r="34" spans="2:7" x14ac:dyDescent="0.25">
      <c r="B34" s="1"/>
      <c r="C34" s="1"/>
    </row>
    <row r="35" spans="2:7" x14ac:dyDescent="0.25">
      <c r="B35" s="1"/>
      <c r="C35" s="1"/>
    </row>
    <row r="36" spans="2:7" ht="17.5" x14ac:dyDescent="0.25">
      <c r="B36" s="1"/>
      <c r="C36" s="59" t="s">
        <v>8</v>
      </c>
      <c r="D36" s="60"/>
      <c r="E36" s="61"/>
      <c r="F36" s="20"/>
      <c r="G36" s="21"/>
    </row>
    <row r="37" spans="2:7" x14ac:dyDescent="0.25">
      <c r="C37" s="33" t="s">
        <v>3</v>
      </c>
      <c r="D37" s="34"/>
      <c r="E37" s="35">
        <f>COUNT(B10:B31)</f>
        <v>22</v>
      </c>
    </row>
    <row r="38" spans="2:7" x14ac:dyDescent="0.25">
      <c r="C38" s="16" t="s">
        <v>4</v>
      </c>
      <c r="D38" s="30"/>
      <c r="E38" s="28">
        <f>SUMIF($I$10:$I$31, "", $B$10:$B$31)</f>
        <v>92</v>
      </c>
    </row>
    <row r="39" spans="2:7" x14ac:dyDescent="0.25">
      <c r="C39" s="33" t="s">
        <v>5</v>
      </c>
      <c r="D39" s="34"/>
      <c r="E39" s="36">
        <f>SUMIF($I$10:$I$31, "TH", $B$10:$B$31)</f>
        <v>19</v>
      </c>
    </row>
    <row r="40" spans="2:7" x14ac:dyDescent="0.25">
      <c r="C40" s="16" t="s">
        <v>6</v>
      </c>
      <c r="D40" s="30"/>
      <c r="E40" s="28">
        <f>SUMIF($I$10:$I$31, "FP", $B$10:$B$31)</f>
        <v>0</v>
      </c>
    </row>
    <row r="41" spans="2:7" x14ac:dyDescent="0.25">
      <c r="C41" s="33" t="s">
        <v>7</v>
      </c>
      <c r="D41" s="34"/>
      <c r="E41" s="36">
        <f>SUMIF($I$10:$I$31, "BGA", $B$10:$B$31)</f>
        <v>0</v>
      </c>
    </row>
    <row r="42" spans="2:7" x14ac:dyDescent="0.25">
      <c r="C42" s="27" t="s">
        <v>16</v>
      </c>
      <c r="D42" s="31"/>
      <c r="E42" s="29">
        <f>SUMIF($I$10:$I$31, "M", $B$10:$B$31)</f>
        <v>30</v>
      </c>
    </row>
  </sheetData>
  <mergeCells count="3">
    <mergeCell ref="G4:H4"/>
    <mergeCell ref="E8:F8"/>
    <mergeCell ref="C36:E36"/>
  </mergeCells>
  <phoneticPr fontId="0" type="noConversion"/>
  <conditionalFormatting sqref="B10:L31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2025-06-24T00:46:41Z</dcterms:modified>
</cp:coreProperties>
</file>