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yne\Desktop\"/>
    </mc:Choice>
  </mc:AlternateContent>
  <bookViews>
    <workbookView xWindow="0" yWindow="0" windowWidth="8172" windowHeight="4932" tabRatio="639"/>
  </bookViews>
  <sheets>
    <sheet name="Termination Loads" sheetId="6" r:id="rId1"/>
    <sheet name="Fixed Support Loads" sheetId="7" r:id="rId2"/>
    <sheet name="Guided Support Loads" sheetId="8" r:id="rId3"/>
    <sheet name="input parameters" sheetId="1" r:id="rId4"/>
    <sheet name="Vacuum" sheetId="9" r:id="rId5"/>
    <sheet name="Thermal" sheetId="2" r:id="rId6"/>
    <sheet name="Dead Load" sheetId="3" r:id="rId7"/>
    <sheet name="Seismic" sheetId="5" r:id="rId8"/>
    <sheet name="Settlement" sheetId="10" r:id="rId9"/>
    <sheet name="Horiz Align" sheetId="11" r:id="rId10"/>
  </sheets>
  <definedNames>
    <definedName name="e">'input parameters'!$A$21</definedName>
    <definedName name="Tch">Thermal!$A$7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8" l="1"/>
  <c r="G25" i="8"/>
  <c r="F25" i="8"/>
  <c r="E25" i="8"/>
  <c r="A40" i="3"/>
  <c r="A41" i="3" s="1"/>
  <c r="A39" i="3"/>
  <c r="A38" i="3"/>
  <c r="H28" i="8"/>
  <c r="G28" i="8"/>
  <c r="F28" i="8"/>
  <c r="E28" i="8"/>
  <c r="A18" i="11"/>
  <c r="A17" i="11"/>
  <c r="A20" i="11"/>
  <c r="A19" i="11"/>
  <c r="D28" i="8"/>
  <c r="J29" i="8"/>
  <c r="H27" i="8"/>
  <c r="G27" i="8"/>
  <c r="F27" i="8"/>
  <c r="E27" i="8"/>
  <c r="A16" i="10"/>
  <c r="A14" i="10"/>
  <c r="A15" i="10"/>
  <c r="A13" i="10"/>
  <c r="A32" i="5"/>
  <c r="A25" i="5"/>
  <c r="A31" i="5"/>
  <c r="I27" i="8"/>
  <c r="A12" i="10"/>
  <c r="D59" i="7"/>
  <c r="A10" i="11"/>
  <c r="A9" i="10"/>
  <c r="E58" i="7" s="1"/>
  <c r="A8" i="10"/>
  <c r="F58" i="7" s="1"/>
  <c r="A7" i="10"/>
  <c r="G58" i="7" s="1"/>
  <c r="A26" i="3"/>
  <c r="A9" i="11" s="1"/>
  <c r="A15" i="9"/>
  <c r="A14" i="9"/>
  <c r="J7" i="1"/>
  <c r="A21" i="1"/>
  <c r="A23" i="2"/>
  <c r="A29" i="3"/>
  <c r="A30" i="3" s="1"/>
  <c r="A27" i="3"/>
  <c r="A28" i="3" s="1"/>
  <c r="A25" i="3"/>
  <c r="H38" i="7"/>
  <c r="G41" i="7"/>
  <c r="F41" i="7"/>
  <c r="E41" i="7"/>
  <c r="D41" i="7"/>
  <c r="H28" i="7"/>
  <c r="G31" i="7"/>
  <c r="F31" i="7"/>
  <c r="E31" i="7"/>
  <c r="D31" i="7"/>
  <c r="I30" i="7"/>
  <c r="I29" i="7"/>
  <c r="I27" i="7"/>
  <c r="I26" i="7"/>
  <c r="I28" i="7" s="1"/>
  <c r="I20" i="7"/>
  <c r="I19" i="7"/>
  <c r="I17" i="7"/>
  <c r="I21" i="7" s="1"/>
  <c r="I16" i="7"/>
  <c r="H28" i="6"/>
  <c r="A32" i="2"/>
  <c r="H21" i="7"/>
  <c r="G21" i="7"/>
  <c r="F21" i="7"/>
  <c r="E21" i="7"/>
  <c r="D21" i="7"/>
  <c r="D16" i="6"/>
  <c r="D15" i="6"/>
  <c r="D14" i="6"/>
  <c r="A17" i="5"/>
  <c r="A13" i="5"/>
  <c r="A12" i="5"/>
  <c r="A9" i="5"/>
  <c r="A10" i="5" s="1"/>
  <c r="A20" i="3"/>
  <c r="E27" i="6" s="1"/>
  <c r="D27" i="6" s="1"/>
  <c r="G7" i="1"/>
  <c r="H7" i="1"/>
  <c r="A9" i="9"/>
  <c r="A10" i="9" s="1"/>
  <c r="A5" i="9"/>
  <c r="A7" i="9" s="1"/>
  <c r="F28" i="6" s="1"/>
  <c r="A11" i="1"/>
  <c r="G5" i="1"/>
  <c r="G4" i="1"/>
  <c r="H10" i="8"/>
  <c r="G10" i="8"/>
  <c r="J10" i="8"/>
  <c r="I10" i="8"/>
  <c r="F10" i="8"/>
  <c r="E10" i="8"/>
  <c r="D10" i="8"/>
  <c r="H11" i="7"/>
  <c r="G11" i="7"/>
  <c r="F11" i="7"/>
  <c r="E11" i="7"/>
  <c r="D11" i="7"/>
  <c r="D8" i="6"/>
  <c r="D7" i="6"/>
  <c r="D6" i="6"/>
  <c r="A12" i="3"/>
  <c r="A14" i="3" s="1"/>
  <c r="A16" i="3" s="1"/>
  <c r="A37" i="3" s="1"/>
  <c r="I25" i="8" s="1"/>
  <c r="I29" i="8" s="1"/>
  <c r="A10" i="3"/>
  <c r="A9" i="3"/>
  <c r="A7" i="2"/>
  <c r="A5" i="2"/>
  <c r="A9" i="1"/>
  <c r="A6" i="1"/>
  <c r="A20" i="2" s="1"/>
  <c r="A31" i="3" l="1"/>
  <c r="D56" i="7" s="1"/>
  <c r="A19" i="5"/>
  <c r="A30" i="5" s="1"/>
  <c r="A24" i="5"/>
  <c r="A21" i="11"/>
  <c r="A11" i="11"/>
  <c r="E59" i="7" s="1"/>
  <c r="A20" i="5"/>
  <c r="G29" i="6" s="1"/>
  <c r="D29" i="6" s="1"/>
  <c r="A16" i="9"/>
  <c r="H56" i="7" s="1"/>
  <c r="I56" i="7" s="1"/>
  <c r="I57" i="7"/>
  <c r="A15" i="5"/>
  <c r="A14" i="5"/>
  <c r="A15" i="3"/>
  <c r="A11" i="2"/>
  <c r="A27" i="2" s="1"/>
  <c r="A23" i="3" l="1"/>
  <c r="A18" i="5"/>
  <c r="A23" i="5" s="1"/>
  <c r="G28" i="6"/>
  <c r="D28" i="6" s="1"/>
  <c r="D24" i="8"/>
  <c r="D29" i="8" s="1"/>
  <c r="A33" i="5"/>
  <c r="A24" i="11"/>
  <c r="A22" i="11"/>
  <c r="A23" i="11"/>
  <c r="A12" i="11"/>
  <c r="F59" i="7" s="1"/>
  <c r="A34" i="3"/>
  <c r="F56" i="7" s="1"/>
  <c r="G56" i="7"/>
  <c r="G60" i="7" s="1"/>
  <c r="A12" i="2"/>
  <c r="A15" i="2" s="1"/>
  <c r="H57" i="7" s="1"/>
  <c r="I55" i="7" l="1"/>
  <c r="I60" i="7" s="1"/>
  <c r="D55" i="7"/>
  <c r="D60" i="7" s="1"/>
  <c r="A27" i="5"/>
  <c r="H55" i="7"/>
  <c r="H60" i="7" s="1"/>
  <c r="A33" i="3"/>
  <c r="E56" i="7" s="1"/>
  <c r="A36" i="5"/>
  <c r="H24" i="8" s="1"/>
  <c r="H29" i="8" s="1"/>
  <c r="E24" i="8"/>
  <c r="E29" i="8" s="1"/>
  <c r="A35" i="5"/>
  <c r="G24" i="8" s="1"/>
  <c r="G29" i="8" s="1"/>
  <c r="A34" i="5"/>
  <c r="F24" i="8" s="1"/>
  <c r="F29" i="8" s="1"/>
  <c r="E55" i="7" l="1"/>
  <c r="E60" i="7" s="1"/>
  <c r="A26" i="5"/>
  <c r="F55" i="7" s="1"/>
  <c r="F60" i="7" s="1"/>
</calcChain>
</file>

<file path=xl/sharedStrings.xml><?xml version="1.0" encoding="utf-8"?>
<sst xmlns="http://schemas.openxmlformats.org/spreadsheetml/2006/main" count="813" uniqueCount="337">
  <si>
    <t>K</t>
  </si>
  <si>
    <t>x</t>
  </si>
  <si>
    <t>Input Parameters</t>
  </si>
  <si>
    <t>Value</t>
  </si>
  <si>
    <t>units</t>
  </si>
  <si>
    <t>Symbol</t>
  </si>
  <si>
    <t>description</t>
  </si>
  <si>
    <t>in</t>
  </si>
  <si>
    <t>Do</t>
  </si>
  <si>
    <t>tube outside diameter</t>
  </si>
  <si>
    <t>m</t>
  </si>
  <si>
    <t>L</t>
  </si>
  <si>
    <t>BT section length</t>
  </si>
  <si>
    <t>source</t>
  </si>
  <si>
    <t>T940074-x0</t>
  </si>
  <si>
    <t>ft</t>
  </si>
  <si>
    <t>Lsp</t>
  </si>
  <si>
    <t>BT span length</t>
  </si>
  <si>
    <t>ts</t>
  </si>
  <si>
    <t>ws</t>
  </si>
  <si>
    <t>Ls</t>
  </si>
  <si>
    <t>tss</t>
  </si>
  <si>
    <t>wss</t>
  </si>
  <si>
    <t>vacuum stiffener thickness</t>
  </si>
  <si>
    <t>vacuum stiffener width</t>
  </si>
  <si>
    <t>vacuum stiffener spacing</t>
  </si>
  <si>
    <t>support stiffener thickness</t>
  </si>
  <si>
    <t>support stiffener width</t>
  </si>
  <si>
    <t>ksi</t>
  </si>
  <si>
    <t>in/in/F</t>
  </si>
  <si>
    <t>lbs/in</t>
  </si>
  <si>
    <t>Ea</t>
  </si>
  <si>
    <t>Eb</t>
  </si>
  <si>
    <t>e</t>
  </si>
  <si>
    <t>Abs</t>
  </si>
  <si>
    <t>H</t>
  </si>
  <si>
    <t>b</t>
  </si>
  <si>
    <t>De</t>
  </si>
  <si>
    <t>Dei</t>
  </si>
  <si>
    <t>CE</t>
  </si>
  <si>
    <t>modulus of elasticity @ 302 F</t>
  </si>
  <si>
    <t>modulus of elasticity @ ambient temperature, 70 F</t>
  </si>
  <si>
    <t>coefficient of thermal expansion (avg. from 70 to 302 F)</t>
  </si>
  <si>
    <t>anchor bolt spacing</t>
  </si>
  <si>
    <t>centerline height of tube</t>
  </si>
  <si>
    <t>support collar/saddle width</t>
  </si>
  <si>
    <t>expansion joint O.D.</t>
  </si>
  <si>
    <t>expansion joint I.D.</t>
  </si>
  <si>
    <t>E.J. concentricity error</t>
  </si>
  <si>
    <t>Expansion Joint Forces at 302 F</t>
  </si>
  <si>
    <t>F</t>
  </si>
  <si>
    <t>Tb</t>
  </si>
  <si>
    <t>bake out temperature</t>
  </si>
  <si>
    <t>C</t>
  </si>
  <si>
    <t>maximum E.J. spring rate</t>
  </si>
  <si>
    <t>Ta</t>
  </si>
  <si>
    <t>ambient (assembly) temperature</t>
  </si>
  <si>
    <t>Tch = Tb - Ta</t>
  </si>
  <si>
    <t>temperature change</t>
  </si>
  <si>
    <t>thermal expansion</t>
  </si>
  <si>
    <t>installation axial variation</t>
  </si>
  <si>
    <t>xt = 2 * e * L * 12 * Tch</t>
  </si>
  <si>
    <t>axial length change</t>
  </si>
  <si>
    <t>xi</t>
  </si>
  <si>
    <t>C960366-v1</t>
  </si>
  <si>
    <t>lbs</t>
  </si>
  <si>
    <t>dx = xt + xi</t>
  </si>
  <si>
    <t>Rfx9</t>
  </si>
  <si>
    <t>Rfy9</t>
  </si>
  <si>
    <t>Guided Support:</t>
  </si>
  <si>
    <t>Rgx9</t>
  </si>
  <si>
    <t>Rgy9 = Rfz9 * H/Lsp/2</t>
  </si>
  <si>
    <t>lateral load</t>
  </si>
  <si>
    <t>C960366-v1, page 3</t>
  </si>
  <si>
    <t>Kme</t>
  </si>
  <si>
    <t>Kmi</t>
  </si>
  <si>
    <t>Kr</t>
  </si>
  <si>
    <t>maximum E.J. spring rate @intermediate fixed supports</t>
  </si>
  <si>
    <t>maximum E.J. spring rate @end fixed supports</t>
  </si>
  <si>
    <t>maximum E.J. spring rate range</t>
  </si>
  <si>
    <t>End Fixed Supports:</t>
  </si>
  <si>
    <t>Intermediate Fixed Supports:</t>
  </si>
  <si>
    <t>Rfz9 = Kr * dx</t>
  </si>
  <si>
    <t>Lend</t>
  </si>
  <si>
    <t>length from termination to 1st support</t>
  </si>
  <si>
    <t>xt = e * (2 * L  - Lend) * 12  * Tch</t>
  </si>
  <si>
    <t>axial force due to maximum spring variation</t>
  </si>
  <si>
    <t>axial force due to different tube lengths on either side of outermost supports</t>
  </si>
  <si>
    <t>Dead Weight Load</t>
  </si>
  <si>
    <t>Wgv</t>
  </si>
  <si>
    <t>weight of the gate valve</t>
  </si>
  <si>
    <t>lbs/ft</t>
  </si>
  <si>
    <t>wdi</t>
  </si>
  <si>
    <t>weight lineal density of the BT including insulation</t>
  </si>
  <si>
    <t>dead load on fixed support</t>
  </si>
  <si>
    <t>--</t>
  </si>
  <si>
    <t>Kf</t>
  </si>
  <si>
    <t>Kg</t>
  </si>
  <si>
    <t>vertical load reaction for fixed support</t>
  </si>
  <si>
    <t>vertical load reaction for guided support</t>
  </si>
  <si>
    <t>Rvg = Kg*2*L*wdi</t>
  </si>
  <si>
    <t>Rvt = Kf *2*L*wdi</t>
  </si>
  <si>
    <t>dead load on guided support</t>
  </si>
  <si>
    <t>derived from shear diagram, pg 39 of C960366-v1</t>
  </si>
  <si>
    <t>kips</t>
  </si>
  <si>
    <t>total vertical reaction, two spans</t>
  </si>
  <si>
    <t>Fvf</t>
  </si>
  <si>
    <t>Fvg</t>
  </si>
  <si>
    <t>Fv</t>
  </si>
  <si>
    <t>obsolete: T940074, page 6 (based on RISA2D beam analysis)</t>
  </si>
  <si>
    <t>obsolete: T940074, page 7</t>
  </si>
  <si>
    <t>Direction</t>
  </si>
  <si>
    <t>Total</t>
  </si>
  <si>
    <t>Dead</t>
  </si>
  <si>
    <t>Vacuum</t>
  </si>
  <si>
    <t>Seismic</t>
  </si>
  <si>
    <t>Thermal</t>
  </si>
  <si>
    <t>Wind</t>
  </si>
  <si>
    <t>Vertical</t>
  </si>
  <si>
    <t>Axial</t>
  </si>
  <si>
    <t>Lateral</t>
  </si>
  <si>
    <t>Termination Foundation Loads at Anchor (lbf)</t>
  </si>
  <si>
    <t>Date:</t>
  </si>
  <si>
    <t>Source:</t>
  </si>
  <si>
    <t>D950093-C (included in E950089-0)</t>
  </si>
  <si>
    <t>Values (lbf):</t>
  </si>
  <si>
    <t>Sources:</t>
  </si>
  <si>
    <t>#1</t>
  </si>
  <si>
    <t>#2</t>
  </si>
  <si>
    <t>#2: C951392-0 (12/12/1995)</t>
  </si>
  <si>
    <t>#1, #2</t>
  </si>
  <si>
    <t>Fixed Support Loads (lbf)</t>
  </si>
  <si>
    <t>D950029-C (included in E950089-0)</t>
  </si>
  <si>
    <t>Type</t>
  </si>
  <si>
    <t>RL</t>
  </si>
  <si>
    <t>RV1 Max.</t>
  </si>
  <si>
    <t>RV2 Min.</t>
  </si>
  <si>
    <t>RV Max.</t>
  </si>
  <si>
    <t>RA</t>
  </si>
  <si>
    <t>Settlement</t>
  </si>
  <si>
    <t>Horiz. Align.</t>
  </si>
  <si>
    <t>Dead &amp; Vac.</t>
  </si>
  <si>
    <t>RA1</t>
  </si>
  <si>
    <t>RA2</t>
  </si>
  <si>
    <t>RA1: axial loads for all fixed supports except outermost</t>
  </si>
  <si>
    <t>RA2: axial loads for 2 outermost fixed supports</t>
  </si>
  <si>
    <t>Guided Support Loads (lbf)</t>
  </si>
  <si>
    <t>RV3 Max.</t>
  </si>
  <si>
    <t>RV4 Min.</t>
  </si>
  <si>
    <t>#2: C960366-v1, pg 29 (5/22/1997)</t>
  </si>
  <si>
    <t>?</t>
  </si>
  <si>
    <t>C940116-x0</t>
  </si>
  <si>
    <t>sq. in.</t>
  </si>
  <si>
    <t>bellows effective area</t>
  </si>
  <si>
    <t>At = pi*Di^2/4</t>
  </si>
  <si>
    <t>t</t>
  </si>
  <si>
    <t>tube thickness</t>
  </si>
  <si>
    <t>tube inside diameter</t>
  </si>
  <si>
    <t>Di = Do - 2 * t</t>
  </si>
  <si>
    <t>Fa</t>
  </si>
  <si>
    <t>axial force at termination</t>
  </si>
  <si>
    <t>lbf</t>
  </si>
  <si>
    <t>psi</t>
  </si>
  <si>
    <t>Pa</t>
  </si>
  <si>
    <t>max. atmospheric pressure</t>
  </si>
  <si>
    <t>T940074-x0, pg 10 has 14.7 psi; here the maximum possible is used</t>
  </si>
  <si>
    <t>Ab = pi*[(De + Dei)/2]^2/4</t>
  </si>
  <si>
    <t>T940074-x0, pg 10 for equation; bellows ID &amp; OD updated</t>
  </si>
  <si>
    <t>T940074-x0, pg 10</t>
  </si>
  <si>
    <t>axial force</t>
  </si>
  <si>
    <t>this is closer to the final value of vacuum load on the termination: 32,602 lbf
perhaps the bellows effective area was used incorrectly?</t>
  </si>
  <si>
    <t>#1: section 4.2.2 of ICD-BTT, C962279-0 (3/8/1996)</t>
  </si>
  <si>
    <t>vertical load reaction for termination support</t>
  </si>
  <si>
    <t>Kt</t>
  </si>
  <si>
    <t>Rvt = Kt*Lend*wdi</t>
  </si>
  <si>
    <t>Rvf = Kf *2*L*wdi</t>
  </si>
  <si>
    <t>dead load on termination support</t>
  </si>
  <si>
    <t>No source found; Kf &lt; Kt &lt; 1. Used value to match final load given</t>
  </si>
  <si>
    <t>Z</t>
  </si>
  <si>
    <t>I</t>
  </si>
  <si>
    <t>Rw</t>
  </si>
  <si>
    <t>C/Rw</t>
  </si>
  <si>
    <t>V = Z * I * C/Rw * W = wseis</t>
  </si>
  <si>
    <t>Seismic Load (for Hanfors, WA)</t>
  </si>
  <si>
    <t>W = wdi</t>
  </si>
  <si>
    <t>ASCE 7-88</t>
  </si>
  <si>
    <t>see "Dead Load" sheet</t>
  </si>
  <si>
    <t>seismic force per tube length</t>
  </si>
  <si>
    <t>T940074-x0, page 5</t>
  </si>
  <si>
    <t>Rfx5 = wseis * 2 * L * Kf</t>
  </si>
  <si>
    <t>Rtx5 = wseis * 2 * L * Kt</t>
  </si>
  <si>
    <t>Rgx5 = wseis * 2 * L * Kg</t>
  </si>
  <si>
    <t>load reaction for termination support</t>
  </si>
  <si>
    <t>obsolete: see "Dead Load" sheet</t>
  </si>
  <si>
    <t>obsolete: T940074-x0, page 9</t>
  </si>
  <si>
    <t>seismic load on fixed support</t>
  </si>
  <si>
    <t>seismic load on guided support</t>
  </si>
  <si>
    <t>seismic load on termination support</t>
  </si>
  <si>
    <t>see "Dead Load" sheet. No source found; Kf &lt; Kt &lt; 1. Used value to match final dead load</t>
  </si>
  <si>
    <t>no source found. Value calculated here is somewhat close to final seismic load on termination support
Should use different reaction compliances for vertical and horizontal - here they are assumed to be the same</t>
  </si>
  <si>
    <t>Final Source:</t>
  </si>
  <si>
    <t>D. Coyne's attempt at reconstruction of final loads:</t>
  </si>
  <si>
    <t>Section 4.2.2 of ICD-BTT, C962279-0, gives the total loads in the vertical, axial and lateral directions, but does not provide a breakdown. It includes the wind load, but this is incorrect IMO.</t>
  </si>
  <si>
    <t>Termination Support</t>
  </si>
  <si>
    <t>Assumed aximum Expansion Joint (bellows) Spring Rate</t>
  </si>
  <si>
    <t>N.B.: This is very conservative</t>
  </si>
  <si>
    <t>Assumed maximum bellows compression</t>
  </si>
  <si>
    <t>this is a little less than the maximum</t>
  </si>
  <si>
    <t>Rt</t>
  </si>
  <si>
    <t>axial force on termination support</t>
  </si>
  <si>
    <t>C951392-0</t>
  </si>
  <si>
    <t>#3: E950105-0</t>
  </si>
  <si>
    <t>12/20/1995 and 12/12/1995</t>
  </si>
  <si>
    <t>E950105-0 and C951392-0 (for RL, RV, RA totals)</t>
  </si>
  <si>
    <t>C960739-0, ICD-BTSLAB rev. 0 (for RL, RV, RA totals)</t>
  </si>
  <si>
    <t>E970033-0, ICD-BTSLAB rev 1D (for RL, RV, RA totals)</t>
  </si>
  <si>
    <t>RA Max.</t>
  </si>
  <si>
    <t>N.B.: I think that this revision of the Interface Control Document (ICD) for the BT Slab picked up incorrect (old estimates of) the support loads, possibly from D950029-C.</t>
  </si>
  <si>
    <t>N.B.:
1) The cells highlighted in yellow indicate approximations or differences from the final load values calculated by CB&amp;I. See the other sheets for my attempt to calculate these loads.
2) The thermal load uses approximate bellows deflection and a conservative (high) value of the bellows spring rate - it can be reduced.
3) The Vacuum load and the Thermal load are in opposite directions, so the total axial load is less than the sum as conservatively assumed.</t>
  </si>
  <si>
    <t>#1: section 3.2.2 of ICD-BTSLAB, found in C960739-0 rev. 0 (3/8/1996)</t>
  </si>
  <si>
    <t>#4: C951392-0</t>
  </si>
  <si>
    <t>#1,#2</t>
  </si>
  <si>
    <t>#5: D950029-C (included in E950089-0)</t>
  </si>
  <si>
    <t>#5</t>
  </si>
  <si>
    <t>#1,#4,#5</t>
  </si>
  <si>
    <t>#4,#5</t>
  </si>
  <si>
    <t>Wp</t>
  </si>
  <si>
    <t>weight of pump port &amp; valve</t>
  </si>
  <si>
    <t>moment due to Wp</t>
  </si>
  <si>
    <t>in-lbs</t>
  </si>
  <si>
    <t>minimum distance from BT centerline to fixed support</t>
  </si>
  <si>
    <t>axial force on fixed support due to pump port weight</t>
  </si>
  <si>
    <t>Lap</t>
  </si>
  <si>
    <t>axial distance from pump port to fixed support</t>
  </si>
  <si>
    <t>approx. lateral distance from pump port to BT centerline</t>
  </si>
  <si>
    <t>Mlp = WP * Llp</t>
  </si>
  <si>
    <t>Map = Wp * Lap</t>
  </si>
  <si>
    <t>lateral force on fixed support due to pump port weight</t>
  </si>
  <si>
    <t>Ra = Map/Ltc</t>
  </si>
  <si>
    <t>Lv</t>
  </si>
  <si>
    <t>Lh</t>
  </si>
  <si>
    <t>#1,#2,#6</t>
  </si>
  <si>
    <t>#6: C960366-x0, pg 4 (3/5/1996)</t>
  </si>
  <si>
    <t>#2,#6</t>
  </si>
  <si>
    <t>C960366-v1, page 3 also C960366-x0 pg 4</t>
  </si>
  <si>
    <t>L1</t>
  </si>
  <si>
    <t>L2</t>
  </si>
  <si>
    <t>tube length between 1st and 2nd fixed supports</t>
  </si>
  <si>
    <t>tube length between 1st fixed support and termination</t>
  </si>
  <si>
    <t>C960366-x0, pg 4</t>
  </si>
  <si>
    <t>Kmax</t>
  </si>
  <si>
    <t>Kmin</t>
  </si>
  <si>
    <t>minimum E.J. spring rate</t>
  </si>
  <si>
    <t>Rfz9 = (L1*Kmax - L2*Kmin) * e * Tch</t>
  </si>
  <si>
    <t>derived from C960366-x0 pg 4. [C960366-v1, pg 3 gives 9.9e-6]</t>
  </si>
  <si>
    <t>I think that these are close to the correct (final) loads for design, even though the thermal loads use higher E.J. spring rates than final values</t>
  </si>
  <si>
    <t>I think that these are close to the correct (final) loads for design, even though the thermal load uses a higher E.J. spring rate than final values</t>
  </si>
  <si>
    <t>C960366-x0 pg 3 gives 23280 lbs</t>
  </si>
  <si>
    <t>N.B.: This is very conservative because it uses initial (high) values of the bellows spring rates</t>
  </si>
  <si>
    <t>nominal BT pressure area</t>
  </si>
  <si>
    <t>dFa = Pa*(At-Atmin)</t>
  </si>
  <si>
    <t>Atmin = pi*(Di-2*tol)^2/4</t>
  </si>
  <si>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tolerance on tube wall thickness</t>
    </r>
  </si>
  <si>
    <t>Dtol</t>
  </si>
  <si>
    <t>ttol</t>
  </si>
  <si>
    <t>+ tolerance on tube diameter</t>
  </si>
  <si>
    <t>C930063-0 TubeTec circumference tolerance without resizing</t>
  </si>
  <si>
    <t>max BT pressure area</t>
  </si>
  <si>
    <t>axial force at fixed support due to tube tolerances</t>
  </si>
  <si>
    <t>Does not come close to the axial load valve calculated by CB&amp;I for "Dead Load + Vacuum"</t>
  </si>
  <si>
    <t>C930063-0 pg 47</t>
  </si>
  <si>
    <t>RL = Mlp/Lv</t>
  </si>
  <si>
    <t>assumes RV2 &amp; RV1 don't provide reaction against moment imposed by pump port load</t>
  </si>
  <si>
    <t>RV2</t>
  </si>
  <si>
    <t>RV1</t>
  </si>
  <si>
    <t>d</t>
  </si>
  <si>
    <t>lateral distance from BT center to vertical reaction points (RV1 &amp; RV2)</t>
  </si>
  <si>
    <t>RV2 min</t>
  </si>
  <si>
    <t>RV1 max</t>
  </si>
  <si>
    <t>assuming that RL = 0</t>
  </si>
  <si>
    <t>vertical support load</t>
  </si>
  <si>
    <t>D950036-x0/09</t>
  </si>
  <si>
    <t>RV1 max = Rvf + Wp -Rv2</t>
  </si>
  <si>
    <t>RV2 min = (Rvf + Wp - WP*Lh/d)/2</t>
  </si>
  <si>
    <t>Fixed Support</t>
  </si>
  <si>
    <t xml:space="preserve">Vacuum Load </t>
  </si>
  <si>
    <t>Loads due to Differential Settlement</t>
  </si>
  <si>
    <t>RV2 min = -RV1 max</t>
  </si>
  <si>
    <t>RV1 max = Rfx5*Lv/(2*d)</t>
  </si>
  <si>
    <t>RV max</t>
  </si>
  <si>
    <t>differential settlement of fixed support</t>
  </si>
  <si>
    <t>total vertical load due to differential settlement</t>
  </si>
  <si>
    <t>C960366-v1 pg, sketch #2, pg 40 - derived from the shear diagram</t>
  </si>
  <si>
    <t>DL</t>
  </si>
  <si>
    <t>RV2 min = -Rvmax/2</t>
  </si>
  <si>
    <t>RV1 max = Rvmax/2</t>
  </si>
  <si>
    <t>the load on the two support points are equal, but the differential settlement can be up or down</t>
  </si>
  <si>
    <t>Horizontal Alignment</t>
  </si>
  <si>
    <t>C960366-x0 pg 145 Derives max allowable settlement; C960366-v1, sketch #2, pg 40</t>
  </si>
  <si>
    <t>No reference to lateral loads due to the need to deflect BT horizontally to align in T940074, C930063, C960366-v1</t>
  </si>
  <si>
    <t>lateral force to horizontally align the BT</t>
  </si>
  <si>
    <t>non-linearity of the BT</t>
  </si>
  <si>
    <t>D950029-C (included in E950089-0); E970033-0, ICD-BTSLAB rev 1D (for RL, RV, RA totals)</t>
  </si>
  <si>
    <t>11/15/1995; 1/29/1997</t>
  </si>
  <si>
    <t>Guided Support</t>
  </si>
  <si>
    <t>#2: E970033-0, ICD-BTSLAB rev 1D (for RL, RV, RA totals)</t>
  </si>
  <si>
    <t>#1: D950029-C (included in E950089-0)</t>
  </si>
  <si>
    <t>Fixed Supports</t>
  </si>
  <si>
    <t>Guided Supports</t>
  </si>
  <si>
    <t>#3: L960370-01</t>
  </si>
  <si>
    <t>RV1 = Rgx5*Lv/(2*d)</t>
  </si>
  <si>
    <t>RV3 = RV1</t>
  </si>
  <si>
    <t>maximum distance from BT centerline to guided support</t>
  </si>
  <si>
    <t>lateral distance from BT center to vertical reaction points (RV1, RV2, RV3, RV4)</t>
  </si>
  <si>
    <t>RV4 = -RV1</t>
  </si>
  <si>
    <t>RV2 = -RV1</t>
  </si>
  <si>
    <t>D950043-04</t>
  </si>
  <si>
    <t>RV3</t>
  </si>
  <si>
    <t>RV4</t>
  </si>
  <si>
    <t>RV1 max.</t>
  </si>
  <si>
    <t>RV2 min.</t>
  </si>
  <si>
    <t>RV3 max.</t>
  </si>
  <si>
    <t>RV4 min.</t>
  </si>
  <si>
    <t>C960366-0 pg 149 indicates a force of 341 lbf to correct a non-linearity of 0.160 inch</t>
  </si>
  <si>
    <t>fixed support</t>
  </si>
  <si>
    <t>guided support</t>
  </si>
  <si>
    <t>lateral alignment correction</t>
  </si>
  <si>
    <t>C960366-x0/0 pg 163 (sht 12, item 3)
repeated in L960370-01, pg 7 of 32 (pg 5 of 9)</t>
  </si>
  <si>
    <t>ΔFL</t>
  </si>
  <si>
    <t>increase in horizontal force component of each cable due to lateral alignment</t>
  </si>
  <si>
    <t>L960370-01, pg 8 of 32 (pg 6 of 9)</t>
  </si>
  <si>
    <t>total lateral force on guided support due to horizontal alignment</t>
  </si>
  <si>
    <t>RL = 4 * ΔFL</t>
  </si>
  <si>
    <t>more realistic estimate of the horizontal force component of each cable due to lateral alignment</t>
  </si>
  <si>
    <t>linear scaling of the ΔFL calculated for 0.5 inch lateral alignment to the BT non-linearity estimate used in C960366-0 of 0.160 inch</t>
  </si>
  <si>
    <t>I think that this table is a better representation of the final loads for the guided support.
However I may be neglecting something.</t>
  </si>
  <si>
    <r>
      <t xml:space="preserve">Notes:
1) I think that the loads shown in </t>
    </r>
    <r>
      <rPr>
        <sz val="11"/>
        <color rgb="FFFF0000"/>
        <rFont val="Calibri"/>
        <family val="2"/>
        <scheme val="minor"/>
      </rPr>
      <t xml:space="preserve">red </t>
    </r>
    <r>
      <rPr>
        <sz val="11"/>
        <color theme="1"/>
        <rFont val="Calibri"/>
        <family val="2"/>
        <scheme val="minor"/>
      </rPr>
      <t>are incorrect.
2) Loads due to horizontal alignment of the BT are missing.
3) I don't know why thermal load (bellows expansion) would result in vertical reactions.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</si>
</sst>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1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65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quotePrefix="1" applyFill="1"/>
    <xf numFmtId="1" fontId="0" fillId="5" borderId="0" xfId="0" applyNumberFormat="1" applyFill="1"/>
    <xf numFmtId="1" fontId="0" fillId="4" borderId="0" xfId="0" applyNumberFormat="1" applyFill="1"/>
    <xf numFmtId="0" fontId="0" fillId="0" borderId="0" xfId="0" quotePrefix="1" applyFill="1"/>
    <xf numFmtId="1" fontId="0" fillId="0" borderId="0" xfId="0" applyNumberFormat="1" applyFill="1"/>
    <xf numFmtId="2" fontId="0" fillId="0" borderId="0" xfId="0" applyNumberFormat="1" applyFill="1"/>
    <xf numFmtId="0" fontId="0" fillId="4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1" fontId="0" fillId="0" borderId="1" xfId="0" applyNumberFormat="1" applyBorder="1"/>
    <xf numFmtId="1" fontId="0" fillId="4" borderId="1" xfId="0" applyNumberFormat="1" applyFill="1" applyBorder="1"/>
    <xf numFmtId="0" fontId="2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4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6" borderId="0" xfId="0" applyFill="1"/>
    <xf numFmtId="0" fontId="0" fillId="6" borderId="0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/>
    <xf numFmtId="0" fontId="0" fillId="0" borderId="0" xfId="0" applyFill="1" applyAlignment="1">
      <alignment wrapText="1"/>
    </xf>
    <xf numFmtId="2" fontId="0" fillId="0" borderId="0" xfId="0" applyNumberFormat="1"/>
    <xf numFmtId="1" fontId="2" fillId="0" borderId="0" xfId="0" applyNumberFormat="1" applyFont="1" applyFill="1"/>
    <xf numFmtId="0" fontId="0" fillId="0" borderId="1" xfId="0" applyFill="1" applyBorder="1" applyAlignment="1">
      <alignment horizontal="right"/>
    </xf>
    <xf numFmtId="0" fontId="0" fillId="4" borderId="2" xfId="0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7</xdr:row>
      <xdr:rowOff>91440</xdr:rowOff>
    </xdr:from>
    <xdr:to>
      <xdr:col>16</xdr:col>
      <xdr:colOff>227767</xdr:colOff>
      <xdr:row>29</xdr:row>
      <xdr:rowOff>10937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6460" y="1371600"/>
          <a:ext cx="6666667" cy="39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3909060</xdr:colOff>
      <xdr:row>30</xdr:row>
      <xdr:rowOff>53340</xdr:rowOff>
    </xdr:from>
    <xdr:to>
      <xdr:col>11</xdr:col>
      <xdr:colOff>121444</xdr:colOff>
      <xdr:row>52</xdr:row>
      <xdr:rowOff>130887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79280" y="5539740"/>
          <a:ext cx="3809524" cy="446666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23</xdr:col>
      <xdr:colOff>589638</xdr:colOff>
      <xdr:row>45</xdr:row>
      <xdr:rowOff>100564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76960" y="5486400"/>
          <a:ext cx="7295238" cy="3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1948069</xdr:colOff>
      <xdr:row>32</xdr:row>
      <xdr:rowOff>23215</xdr:rowOff>
    </xdr:from>
    <xdr:to>
      <xdr:col>10</xdr:col>
      <xdr:colOff>208987</xdr:colOff>
      <xdr:row>55</xdr:row>
      <xdr:rowOff>59635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1547" y="6139093"/>
          <a:ext cx="7179631" cy="43036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41</xdr:row>
      <xdr:rowOff>145774</xdr:rowOff>
    </xdr:from>
    <xdr:to>
      <xdr:col>4</xdr:col>
      <xdr:colOff>1364973</xdr:colOff>
      <xdr:row>54</xdr:row>
      <xdr:rowOff>134345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7931426"/>
          <a:ext cx="7653130" cy="240046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56</xdr:row>
      <xdr:rowOff>0</xdr:rowOff>
    </xdr:from>
    <xdr:to>
      <xdr:col>4</xdr:col>
      <xdr:colOff>702094</xdr:colOff>
      <xdr:row>85</xdr:row>
      <xdr:rowOff>6625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1" y="10939670"/>
          <a:ext cx="6533050" cy="538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P8" sqref="P8"/>
    </sheetView>
  </sheetViews>
  <sheetFormatPr defaultRowHeight="14.4" x14ac:dyDescent="0.3"/>
  <cols>
    <col min="2" max="2" width="11.88671875" customWidth="1"/>
    <col min="3" max="3" width="10.5546875" bestFit="1" customWidth="1"/>
  </cols>
  <sheetData>
    <row r="1" spans="1:13" ht="15.6" x14ac:dyDescent="0.3">
      <c r="A1" s="26" t="s">
        <v>121</v>
      </c>
    </row>
    <row r="3" spans="1:13" x14ac:dyDescent="0.3">
      <c r="B3" t="s">
        <v>123</v>
      </c>
      <c r="C3" t="s">
        <v>124</v>
      </c>
    </row>
    <row r="4" spans="1:13" x14ac:dyDescent="0.3">
      <c r="B4" t="s">
        <v>122</v>
      </c>
      <c r="C4" s="7">
        <v>35030</v>
      </c>
    </row>
    <row r="5" spans="1:13" x14ac:dyDescent="0.3">
      <c r="C5" s="19" t="s">
        <v>111</v>
      </c>
      <c r="D5" s="19" t="s">
        <v>112</v>
      </c>
      <c r="E5" s="19" t="s">
        <v>113</v>
      </c>
      <c r="F5" s="19" t="s">
        <v>114</v>
      </c>
      <c r="G5" s="19" t="s">
        <v>115</v>
      </c>
      <c r="H5" s="19" t="s">
        <v>116</v>
      </c>
      <c r="I5" s="19" t="s">
        <v>117</v>
      </c>
    </row>
    <row r="6" spans="1:13" x14ac:dyDescent="0.3">
      <c r="C6" s="19" t="s">
        <v>118</v>
      </c>
      <c r="D6" s="19">
        <f>SUM(E6:I6)</f>
        <v>7937</v>
      </c>
      <c r="E6" s="19">
        <v>7937</v>
      </c>
      <c r="F6" s="19">
        <v>0</v>
      </c>
      <c r="G6" s="19">
        <v>0</v>
      </c>
      <c r="H6" s="19">
        <v>0</v>
      </c>
      <c r="I6" s="19">
        <v>0</v>
      </c>
    </row>
    <row r="7" spans="1:13" x14ac:dyDescent="0.3">
      <c r="C7" s="19" t="s">
        <v>119</v>
      </c>
      <c r="D7" s="19">
        <f t="shared" ref="D7:D8" si="0">SUM(E7:I7)</f>
        <v>58485</v>
      </c>
      <c r="E7" s="19">
        <v>0</v>
      </c>
      <c r="F7" s="19">
        <v>32602</v>
      </c>
      <c r="G7" s="19">
        <v>1883</v>
      </c>
      <c r="H7" s="19">
        <v>24000</v>
      </c>
      <c r="I7" s="19">
        <v>0</v>
      </c>
    </row>
    <row r="8" spans="1:13" x14ac:dyDescent="0.3">
      <c r="C8" s="19" t="s">
        <v>120</v>
      </c>
      <c r="D8" s="19">
        <f t="shared" si="0"/>
        <v>3086</v>
      </c>
      <c r="E8" s="19">
        <v>0</v>
      </c>
      <c r="F8" s="19">
        <v>0</v>
      </c>
      <c r="G8" s="19">
        <v>1534</v>
      </c>
      <c r="H8" s="19">
        <v>0</v>
      </c>
      <c r="I8" s="19">
        <v>1552</v>
      </c>
    </row>
    <row r="10" spans="1:13" x14ac:dyDescent="0.3">
      <c r="B10" t="s">
        <v>200</v>
      </c>
      <c r="C10" s="30" t="s">
        <v>202</v>
      </c>
      <c r="D10" s="30"/>
      <c r="E10" s="30"/>
      <c r="F10" s="30"/>
      <c r="G10" s="30"/>
      <c r="H10" s="30"/>
      <c r="I10" s="30"/>
      <c r="J10" s="30"/>
      <c r="K10" s="30"/>
      <c r="L10" s="30"/>
    </row>
    <row r="11" spans="1:13" ht="15" thickBot="1" x14ac:dyDescent="0.35"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3" x14ac:dyDescent="0.3">
      <c r="B12" t="s">
        <v>122</v>
      </c>
      <c r="C12" s="7">
        <v>35132</v>
      </c>
      <c r="J12" s="44" t="s">
        <v>256</v>
      </c>
      <c r="K12" s="45"/>
      <c r="L12" s="45"/>
      <c r="M12" s="46"/>
    </row>
    <row r="13" spans="1:13" x14ac:dyDescent="0.3">
      <c r="C13" s="19" t="s">
        <v>111</v>
      </c>
      <c r="D13" s="19" t="s">
        <v>112</v>
      </c>
      <c r="E13" s="19" t="s">
        <v>113</v>
      </c>
      <c r="F13" s="19" t="s">
        <v>114</v>
      </c>
      <c r="G13" s="19" t="s">
        <v>115</v>
      </c>
      <c r="H13" s="19" t="s">
        <v>116</v>
      </c>
      <c r="J13" s="47"/>
      <c r="K13" s="43"/>
      <c r="L13" s="43"/>
      <c r="M13" s="48"/>
    </row>
    <row r="14" spans="1:13" x14ac:dyDescent="0.3">
      <c r="C14" s="19" t="s">
        <v>118</v>
      </c>
      <c r="D14" s="19">
        <f>SUM(E14:I14)</f>
        <v>7937</v>
      </c>
      <c r="E14" s="19">
        <v>7937</v>
      </c>
      <c r="F14" s="19">
        <v>0</v>
      </c>
      <c r="G14" s="19">
        <v>0</v>
      </c>
      <c r="H14" s="19">
        <v>0</v>
      </c>
      <c r="J14" s="47"/>
      <c r="K14" s="43"/>
      <c r="L14" s="43"/>
      <c r="M14" s="48"/>
    </row>
    <row r="15" spans="1:13" x14ac:dyDescent="0.3">
      <c r="C15" s="19" t="s">
        <v>119</v>
      </c>
      <c r="D15" s="19">
        <f t="shared" ref="D15:D16" si="1">SUM(E15:I15)</f>
        <v>58485</v>
      </c>
      <c r="E15" s="19">
        <v>0</v>
      </c>
      <c r="F15" s="19">
        <v>32602</v>
      </c>
      <c r="G15" s="19">
        <v>1883</v>
      </c>
      <c r="H15" s="19">
        <v>24000</v>
      </c>
      <c r="J15" s="47"/>
      <c r="K15" s="43"/>
      <c r="L15" s="43"/>
      <c r="M15" s="48"/>
    </row>
    <row r="16" spans="1:13" ht="15" thickBot="1" x14ac:dyDescent="0.35">
      <c r="C16" s="19" t="s">
        <v>120</v>
      </c>
      <c r="D16" s="33">
        <f t="shared" si="1"/>
        <v>1534</v>
      </c>
      <c r="E16" s="19">
        <v>0</v>
      </c>
      <c r="F16" s="19">
        <v>0</v>
      </c>
      <c r="G16" s="19">
        <v>1534</v>
      </c>
      <c r="H16" s="19">
        <v>0</v>
      </c>
      <c r="J16" s="49"/>
      <c r="K16" s="50"/>
      <c r="L16" s="50"/>
      <c r="M16" s="51"/>
    </row>
    <row r="18" spans="1:14" ht="15.6" x14ac:dyDescent="0.3">
      <c r="A18" s="26" t="s">
        <v>201</v>
      </c>
    </row>
    <row r="19" spans="1:14" x14ac:dyDescent="0.3">
      <c r="B19" t="s">
        <v>126</v>
      </c>
      <c r="C19" s="7"/>
      <c r="J19" t="s">
        <v>126</v>
      </c>
    </row>
    <row r="20" spans="1:14" x14ac:dyDescent="0.3">
      <c r="C20" s="19" t="s">
        <v>111</v>
      </c>
      <c r="D20" s="19" t="s">
        <v>112</v>
      </c>
      <c r="E20" s="19" t="s">
        <v>113</v>
      </c>
      <c r="F20" s="19" t="s">
        <v>114</v>
      </c>
      <c r="G20" s="19" t="s">
        <v>115</v>
      </c>
      <c r="H20" s="19" t="s">
        <v>116</v>
      </c>
      <c r="J20" t="s">
        <v>171</v>
      </c>
    </row>
    <row r="21" spans="1:14" x14ac:dyDescent="0.3">
      <c r="C21" s="19" t="s">
        <v>118</v>
      </c>
      <c r="D21" s="20" t="s">
        <v>130</v>
      </c>
      <c r="E21" s="21" t="s">
        <v>150</v>
      </c>
      <c r="F21" s="22"/>
      <c r="G21" s="22"/>
      <c r="H21" s="22"/>
      <c r="I21" s="2"/>
      <c r="J21" t="s">
        <v>129</v>
      </c>
    </row>
    <row r="22" spans="1:14" x14ac:dyDescent="0.3">
      <c r="C22" s="19" t="s">
        <v>119</v>
      </c>
      <c r="D22" s="20" t="s">
        <v>130</v>
      </c>
      <c r="E22" s="22"/>
      <c r="F22" s="21" t="s">
        <v>150</v>
      </c>
      <c r="G22" s="21" t="s">
        <v>150</v>
      </c>
      <c r="H22" s="21" t="s">
        <v>128</v>
      </c>
      <c r="I22" s="2"/>
    </row>
    <row r="23" spans="1:14" x14ac:dyDescent="0.3">
      <c r="C23" s="19" t="s">
        <v>120</v>
      </c>
      <c r="D23" s="20" t="s">
        <v>130</v>
      </c>
      <c r="E23" s="22"/>
      <c r="F23" s="22"/>
      <c r="G23" s="21" t="s">
        <v>150</v>
      </c>
      <c r="H23" s="22"/>
      <c r="I23" s="2"/>
    </row>
    <row r="24" spans="1:14" x14ac:dyDescent="0.3">
      <c r="E24" s="2"/>
      <c r="F24" s="2"/>
      <c r="G24" s="2"/>
      <c r="H24" s="2"/>
      <c r="I24" s="2"/>
    </row>
    <row r="25" spans="1:14" x14ac:dyDescent="0.3">
      <c r="B25" t="s">
        <v>125</v>
      </c>
      <c r="E25" s="2"/>
      <c r="F25" s="2"/>
      <c r="G25" s="2"/>
      <c r="H25" s="2"/>
      <c r="I25" s="2"/>
    </row>
    <row r="26" spans="1:14" ht="14.4" customHeight="1" x14ac:dyDescent="0.3">
      <c r="C26" s="19" t="s">
        <v>111</v>
      </c>
      <c r="D26" s="19" t="s">
        <v>112</v>
      </c>
      <c r="E26" s="23" t="s">
        <v>113</v>
      </c>
      <c r="F26" s="23" t="s">
        <v>114</v>
      </c>
      <c r="G26" s="23" t="s">
        <v>115</v>
      </c>
      <c r="H26" s="23" t="s">
        <v>116</v>
      </c>
      <c r="I26" s="2"/>
      <c r="J26" s="32"/>
      <c r="K26" s="32"/>
      <c r="L26" s="32"/>
      <c r="M26" s="32"/>
      <c r="N26" s="32"/>
    </row>
    <row r="27" spans="1:14" x14ac:dyDescent="0.3">
      <c r="C27" s="19" t="s">
        <v>118</v>
      </c>
      <c r="D27" s="23">
        <f>SUM(E27:H27)</f>
        <v>7936.7219750000004</v>
      </c>
      <c r="E27" s="24">
        <f>'Dead Load'!A20</f>
        <v>7936.7219750000004</v>
      </c>
      <c r="F27" s="23">
        <v>0</v>
      </c>
      <c r="G27" s="23">
        <v>0</v>
      </c>
      <c r="H27" s="23">
        <v>0</v>
      </c>
      <c r="I27" s="2"/>
      <c r="J27" s="32"/>
      <c r="K27" s="32"/>
      <c r="L27" s="32"/>
      <c r="M27" s="32"/>
      <c r="N27" s="32"/>
    </row>
    <row r="28" spans="1:14" x14ac:dyDescent="0.3">
      <c r="C28" s="19" t="s">
        <v>119</v>
      </c>
      <c r="D28" s="23">
        <f t="shared" ref="D28:D29" si="2">SUM(E28:H28)</f>
        <v>55333.318009444192</v>
      </c>
      <c r="E28" s="23">
        <v>0</v>
      </c>
      <c r="F28" s="24">
        <f>Vacuum!A7</f>
        <v>29304.800816378196</v>
      </c>
      <c r="G28" s="24">
        <f>Seismic!A20</f>
        <v>2028.5171930660003</v>
      </c>
      <c r="H28" s="23">
        <f>Thermal!A32</f>
        <v>24000</v>
      </c>
      <c r="I28" s="2"/>
      <c r="J28" s="32"/>
      <c r="K28" s="32"/>
      <c r="L28" s="32"/>
      <c r="M28" s="32"/>
      <c r="N28" s="32"/>
    </row>
    <row r="29" spans="1:14" x14ac:dyDescent="0.3">
      <c r="C29" s="19" t="s">
        <v>120</v>
      </c>
      <c r="D29" s="23">
        <f t="shared" si="2"/>
        <v>2028.5171930660003</v>
      </c>
      <c r="E29" s="23">
        <v>0</v>
      </c>
      <c r="F29" s="23">
        <v>0</v>
      </c>
      <c r="G29" s="24">
        <f>Seismic!A20</f>
        <v>2028.5171930660003</v>
      </c>
      <c r="H29" s="23">
        <v>0</v>
      </c>
      <c r="I29" s="2"/>
      <c r="J29" s="32"/>
      <c r="K29" s="32"/>
      <c r="L29" s="32"/>
      <c r="M29" s="32"/>
      <c r="N29" s="32"/>
    </row>
    <row r="31" spans="1:14" ht="14.4" customHeight="1" x14ac:dyDescent="0.3">
      <c r="B31" s="31" t="s">
        <v>218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3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4" x14ac:dyDescent="0.3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2:14" x14ac:dyDescent="0.3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x14ac:dyDescent="0.3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x14ac:dyDescent="0.3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</sheetData>
  <mergeCells count="3">
    <mergeCell ref="C10:L11"/>
    <mergeCell ref="B31:N36"/>
    <mergeCell ref="J12:M16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6" sqref="E16"/>
    </sheetView>
  </sheetViews>
  <sheetFormatPr defaultRowHeight="14.4" x14ac:dyDescent="0.3"/>
  <cols>
    <col min="3" max="3" width="19.33203125" customWidth="1"/>
    <col min="4" max="4" width="53.5546875" customWidth="1"/>
    <col min="5" max="5" width="72.6640625" customWidth="1"/>
  </cols>
  <sheetData>
    <row r="1" spans="1:5" ht="15.6" x14ac:dyDescent="0.3">
      <c r="A1" s="26" t="s">
        <v>297</v>
      </c>
    </row>
    <row r="2" spans="1:5" ht="15.6" x14ac:dyDescent="0.3">
      <c r="A2" s="26"/>
    </row>
    <row r="3" spans="1:5" ht="15.6" x14ac:dyDescent="0.3">
      <c r="A3" s="26"/>
      <c r="B3" t="s">
        <v>299</v>
      </c>
    </row>
    <row r="5" spans="1:5" x14ac:dyDescent="0.3">
      <c r="A5" t="s">
        <v>3</v>
      </c>
      <c r="B5" t="s">
        <v>4</v>
      </c>
      <c r="C5" t="s">
        <v>5</v>
      </c>
      <c r="D5" t="s">
        <v>6</v>
      </c>
      <c r="E5" t="s">
        <v>13</v>
      </c>
    </row>
    <row r="6" spans="1:5" x14ac:dyDescent="0.3">
      <c r="A6" s="25" t="s">
        <v>324</v>
      </c>
    </row>
    <row r="7" spans="1:5" x14ac:dyDescent="0.3">
      <c r="A7" s="3">
        <v>0.16</v>
      </c>
      <c r="B7" t="s">
        <v>7</v>
      </c>
      <c r="C7" t="s">
        <v>1</v>
      </c>
      <c r="D7" s="52" t="s">
        <v>301</v>
      </c>
      <c r="E7" t="s">
        <v>323</v>
      </c>
    </row>
    <row r="8" spans="1:5" x14ac:dyDescent="0.3">
      <c r="A8" s="2">
        <v>341</v>
      </c>
      <c r="B8" t="s">
        <v>161</v>
      </c>
      <c r="C8" t="s">
        <v>134</v>
      </c>
      <c r="D8" t="s">
        <v>300</v>
      </c>
      <c r="E8" t="s">
        <v>323</v>
      </c>
    </row>
    <row r="9" spans="1:5" x14ac:dyDescent="0.3">
      <c r="A9">
        <f>'Dead Load'!A26</f>
        <v>26.925000000000001</v>
      </c>
      <c r="B9" t="s">
        <v>7</v>
      </c>
      <c r="C9" t="s">
        <v>239</v>
      </c>
    </row>
    <row r="10" spans="1:5" x14ac:dyDescent="0.3">
      <c r="A10" s="2">
        <f>'Dead Load'!A32</f>
        <v>16</v>
      </c>
      <c r="B10" t="s">
        <v>7</v>
      </c>
      <c r="C10" t="s">
        <v>275</v>
      </c>
    </row>
    <row r="11" spans="1:5" x14ac:dyDescent="0.3">
      <c r="A11" s="2">
        <f>A8*A9/(2*A10)</f>
        <v>286.91953125000003</v>
      </c>
      <c r="B11" t="s">
        <v>161</v>
      </c>
      <c r="C11" t="s">
        <v>278</v>
      </c>
    </row>
    <row r="12" spans="1:5" x14ac:dyDescent="0.3">
      <c r="A12" s="2">
        <f>-A11</f>
        <v>-286.91953125000003</v>
      </c>
      <c r="B12" t="s">
        <v>161</v>
      </c>
      <c r="C12" t="s">
        <v>277</v>
      </c>
    </row>
    <row r="14" spans="1:5" x14ac:dyDescent="0.3">
      <c r="A14" s="25" t="s">
        <v>325</v>
      </c>
    </row>
    <row r="15" spans="1:5" ht="28.8" x14ac:dyDescent="0.3">
      <c r="A15">
        <v>0.5</v>
      </c>
      <c r="B15" t="s">
        <v>7</v>
      </c>
      <c r="C15" t="s">
        <v>1</v>
      </c>
      <c r="D15" t="s">
        <v>326</v>
      </c>
      <c r="E15" s="4" t="s">
        <v>327</v>
      </c>
    </row>
    <row r="16" spans="1:5" ht="28.8" x14ac:dyDescent="0.3">
      <c r="A16" s="2">
        <v>821</v>
      </c>
      <c r="B16" t="s">
        <v>161</v>
      </c>
      <c r="C16" s="52" t="s">
        <v>328</v>
      </c>
      <c r="D16" s="4" t="s">
        <v>329</v>
      </c>
      <c r="E16" s="52" t="s">
        <v>330</v>
      </c>
    </row>
    <row r="17" spans="1:5" ht="28.8" x14ac:dyDescent="0.3">
      <c r="A17" s="2">
        <f>A16*(A7/A15)</f>
        <v>262.72000000000003</v>
      </c>
      <c r="B17" t="s">
        <v>161</v>
      </c>
      <c r="C17" s="52" t="s">
        <v>328</v>
      </c>
      <c r="D17" s="4" t="s">
        <v>333</v>
      </c>
      <c r="E17" s="59" t="s">
        <v>334</v>
      </c>
    </row>
    <row r="18" spans="1:5" x14ac:dyDescent="0.3">
      <c r="A18" s="2">
        <f>4*A17</f>
        <v>1050.8800000000001</v>
      </c>
      <c r="B18" t="s">
        <v>161</v>
      </c>
      <c r="C18" s="52" t="s">
        <v>332</v>
      </c>
      <c r="D18" t="s">
        <v>331</v>
      </c>
    </row>
    <row r="19" spans="1:5" x14ac:dyDescent="0.3">
      <c r="A19" s="55">
        <f>3*12+6-15.4</f>
        <v>26.6</v>
      </c>
      <c r="B19" t="s">
        <v>7</v>
      </c>
      <c r="C19" t="s">
        <v>239</v>
      </c>
      <c r="D19" t="s">
        <v>312</v>
      </c>
    </row>
    <row r="20" spans="1:5" ht="28.8" x14ac:dyDescent="0.3">
      <c r="A20" s="2">
        <f>(3*12+2)/2</f>
        <v>19</v>
      </c>
      <c r="B20" t="s">
        <v>7</v>
      </c>
      <c r="C20" t="s">
        <v>275</v>
      </c>
      <c r="D20" s="4" t="s">
        <v>313</v>
      </c>
      <c r="E20" t="s">
        <v>316</v>
      </c>
    </row>
    <row r="21" spans="1:5" x14ac:dyDescent="0.3">
      <c r="A21" s="2">
        <f>A18*A19/(2*A20)</f>
        <v>735.6160000000001</v>
      </c>
      <c r="B21" t="s">
        <v>161</v>
      </c>
      <c r="C21" t="s">
        <v>310</v>
      </c>
    </row>
    <row r="22" spans="1:5" x14ac:dyDescent="0.3">
      <c r="A22" s="2">
        <f>-A21</f>
        <v>-735.6160000000001</v>
      </c>
      <c r="B22" t="s">
        <v>161</v>
      </c>
      <c r="C22" t="s">
        <v>315</v>
      </c>
    </row>
    <row r="23" spans="1:5" x14ac:dyDescent="0.3">
      <c r="A23" s="2">
        <f>A21</f>
        <v>735.6160000000001</v>
      </c>
      <c r="B23" t="s">
        <v>161</v>
      </c>
      <c r="C23" t="s">
        <v>311</v>
      </c>
    </row>
    <row r="24" spans="1:5" x14ac:dyDescent="0.3">
      <c r="A24" s="2">
        <f>-A21</f>
        <v>-735.6160000000001</v>
      </c>
      <c r="B24" t="s">
        <v>161</v>
      </c>
      <c r="C24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1" workbookViewId="0">
      <selection activeCell="H56" sqref="H56"/>
    </sheetView>
  </sheetViews>
  <sheetFormatPr defaultRowHeight="14.4" x14ac:dyDescent="0.3"/>
  <cols>
    <col min="2" max="2" width="8.6640625" customWidth="1"/>
    <col min="3" max="3" width="10.5546875" bestFit="1" customWidth="1"/>
    <col min="8" max="8" width="10.21875" customWidth="1"/>
    <col min="9" max="9" width="10.44140625" customWidth="1"/>
    <col min="14" max="14" width="10.44140625" customWidth="1"/>
  </cols>
  <sheetData>
    <row r="1" spans="1:10" ht="15.6" x14ac:dyDescent="0.3">
      <c r="A1" s="26" t="s">
        <v>131</v>
      </c>
    </row>
    <row r="3" spans="1:10" x14ac:dyDescent="0.3">
      <c r="B3" t="s">
        <v>123</v>
      </c>
      <c r="C3" t="s">
        <v>132</v>
      </c>
    </row>
    <row r="4" spans="1:10" x14ac:dyDescent="0.3">
      <c r="B4" t="s">
        <v>122</v>
      </c>
      <c r="C4" s="7">
        <v>35018</v>
      </c>
    </row>
    <row r="5" spans="1:10" x14ac:dyDescent="0.3">
      <c r="C5" s="19" t="s">
        <v>133</v>
      </c>
      <c r="D5" s="19" t="s">
        <v>134</v>
      </c>
      <c r="E5" s="19" t="s">
        <v>135</v>
      </c>
      <c r="F5" s="19" t="s">
        <v>136</v>
      </c>
      <c r="G5" s="19" t="s">
        <v>137</v>
      </c>
      <c r="H5" s="19" t="s">
        <v>138</v>
      </c>
    </row>
    <row r="6" spans="1:10" x14ac:dyDescent="0.3">
      <c r="C6" s="19" t="s">
        <v>115</v>
      </c>
      <c r="D6" s="19">
        <v>1287</v>
      </c>
      <c r="E6" s="19">
        <v>1689</v>
      </c>
      <c r="F6" s="19">
        <v>-1689</v>
      </c>
      <c r="G6" s="19">
        <v>0</v>
      </c>
      <c r="H6" s="19">
        <v>2169</v>
      </c>
    </row>
    <row r="7" spans="1:10" x14ac:dyDescent="0.3">
      <c r="C7" s="19" t="s">
        <v>141</v>
      </c>
      <c r="D7" s="19">
        <v>85</v>
      </c>
      <c r="E7" s="19">
        <v>3870</v>
      </c>
      <c r="F7" s="19">
        <v>3648</v>
      </c>
      <c r="G7" s="19">
        <v>7518</v>
      </c>
      <c r="H7" s="19">
        <v>771</v>
      </c>
    </row>
    <row r="8" spans="1:10" x14ac:dyDescent="0.3">
      <c r="C8" s="19" t="s">
        <v>116</v>
      </c>
      <c r="D8" s="19">
        <v>0</v>
      </c>
      <c r="E8" s="19">
        <v>0</v>
      </c>
      <c r="F8" s="19">
        <v>0</v>
      </c>
      <c r="G8" s="19">
        <v>0</v>
      </c>
      <c r="H8" s="19">
        <v>5188</v>
      </c>
    </row>
    <row r="9" spans="1:10" x14ac:dyDescent="0.3">
      <c r="C9" s="19" t="s">
        <v>139</v>
      </c>
      <c r="D9" s="19">
        <v>0</v>
      </c>
      <c r="E9" s="19">
        <v>715</v>
      </c>
      <c r="F9" s="19">
        <v>-715</v>
      </c>
      <c r="G9" s="19">
        <v>1430</v>
      </c>
      <c r="H9" s="19">
        <v>0</v>
      </c>
    </row>
    <row r="10" spans="1:10" x14ac:dyDescent="0.3">
      <c r="C10" s="19" t="s">
        <v>140</v>
      </c>
      <c r="D10" s="19">
        <v>1235</v>
      </c>
      <c r="E10" s="19">
        <v>1621</v>
      </c>
      <c r="F10" s="19">
        <v>-1621</v>
      </c>
      <c r="G10" s="19">
        <v>0</v>
      </c>
      <c r="H10" s="19">
        <v>0</v>
      </c>
    </row>
    <row r="11" spans="1:10" x14ac:dyDescent="0.3">
      <c r="C11" s="19" t="s">
        <v>112</v>
      </c>
      <c r="D11" s="19">
        <f>SUM(D6:D10)</f>
        <v>2607</v>
      </c>
      <c r="E11" s="19">
        <f t="shared" ref="E11:H11" si="0">SUM(E6:E10)</f>
        <v>7895</v>
      </c>
      <c r="F11" s="19">
        <f t="shared" si="0"/>
        <v>-377</v>
      </c>
      <c r="G11" s="19">
        <f t="shared" si="0"/>
        <v>8948</v>
      </c>
      <c r="H11" s="19">
        <f t="shared" si="0"/>
        <v>8128</v>
      </c>
    </row>
    <row r="13" spans="1:10" x14ac:dyDescent="0.3">
      <c r="B13" t="s">
        <v>123</v>
      </c>
      <c r="C13" t="s">
        <v>213</v>
      </c>
    </row>
    <row r="14" spans="1:10" x14ac:dyDescent="0.3">
      <c r="B14" t="s">
        <v>122</v>
      </c>
      <c r="C14" s="7" t="s">
        <v>212</v>
      </c>
    </row>
    <row r="15" spans="1:10" x14ac:dyDescent="0.3">
      <c r="C15" s="19" t="s">
        <v>133</v>
      </c>
      <c r="D15" s="19" t="s">
        <v>134</v>
      </c>
      <c r="E15" s="19" t="s">
        <v>135</v>
      </c>
      <c r="F15" s="19" t="s">
        <v>136</v>
      </c>
      <c r="G15" s="19" t="s">
        <v>137</v>
      </c>
      <c r="H15" s="19" t="s">
        <v>142</v>
      </c>
      <c r="I15" s="19" t="s">
        <v>143</v>
      </c>
      <c r="J15" t="s">
        <v>144</v>
      </c>
    </row>
    <row r="16" spans="1:10" x14ac:dyDescent="0.3">
      <c r="C16" s="19" t="s">
        <v>115</v>
      </c>
      <c r="D16" s="19">
        <v>1287</v>
      </c>
      <c r="E16" s="19">
        <v>1689</v>
      </c>
      <c r="F16" s="19">
        <v>-1689</v>
      </c>
      <c r="G16" s="19">
        <v>0</v>
      </c>
      <c r="H16" s="19">
        <v>2169</v>
      </c>
      <c r="I16" s="19">
        <f>H16</f>
        <v>2169</v>
      </c>
      <c r="J16" t="s">
        <v>145</v>
      </c>
    </row>
    <row r="17" spans="2:14" x14ac:dyDescent="0.3">
      <c r="C17" s="19" t="s">
        <v>141</v>
      </c>
      <c r="D17" s="19">
        <v>85</v>
      </c>
      <c r="E17" s="19">
        <v>3870</v>
      </c>
      <c r="F17" s="19">
        <v>3648</v>
      </c>
      <c r="G17" s="19">
        <v>7518</v>
      </c>
      <c r="H17" s="19">
        <v>771</v>
      </c>
      <c r="I17" s="19">
        <f>H17</f>
        <v>771</v>
      </c>
    </row>
    <row r="18" spans="2:14" x14ac:dyDescent="0.3">
      <c r="C18" s="19" t="s">
        <v>116</v>
      </c>
      <c r="D18" s="19">
        <v>0</v>
      </c>
      <c r="E18" s="19">
        <v>0</v>
      </c>
      <c r="F18" s="19">
        <v>0</v>
      </c>
      <c r="G18" s="19">
        <v>0</v>
      </c>
      <c r="H18" s="33">
        <v>5566</v>
      </c>
      <c r="I18" s="33">
        <v>6922</v>
      </c>
      <c r="K18" s="38"/>
      <c r="L18" s="38"/>
      <c r="M18" s="38"/>
      <c r="N18" s="38"/>
    </row>
    <row r="19" spans="2:14" x14ac:dyDescent="0.3">
      <c r="C19" s="19" t="s">
        <v>139</v>
      </c>
      <c r="D19" s="19">
        <v>0</v>
      </c>
      <c r="E19" s="19">
        <v>715</v>
      </c>
      <c r="F19" s="19">
        <v>-715</v>
      </c>
      <c r="G19" s="19">
        <v>1430</v>
      </c>
      <c r="H19" s="19">
        <v>0</v>
      </c>
      <c r="I19" s="19">
        <f>H19</f>
        <v>0</v>
      </c>
      <c r="K19" s="38"/>
      <c r="L19" s="38"/>
      <c r="M19" s="38"/>
      <c r="N19" s="38"/>
    </row>
    <row r="20" spans="2:14" x14ac:dyDescent="0.3">
      <c r="C20" s="19" t="s">
        <v>140</v>
      </c>
      <c r="D20" s="19">
        <v>1235</v>
      </c>
      <c r="E20" s="19">
        <v>1621</v>
      </c>
      <c r="F20" s="19">
        <v>-1621</v>
      </c>
      <c r="G20" s="19">
        <v>0</v>
      </c>
      <c r="H20" s="19">
        <v>0</v>
      </c>
      <c r="I20" s="19">
        <f>H20</f>
        <v>0</v>
      </c>
      <c r="K20" s="38"/>
      <c r="L20" s="38"/>
      <c r="M20" s="38"/>
      <c r="N20" s="38"/>
    </row>
    <row r="21" spans="2:14" x14ac:dyDescent="0.3">
      <c r="C21" s="19" t="s">
        <v>112</v>
      </c>
      <c r="D21" s="19">
        <f>SUM(D16:D20)</f>
        <v>2607</v>
      </c>
      <c r="E21" s="19">
        <f t="shared" ref="E21" si="1">SUM(E16:E20)</f>
        <v>7895</v>
      </c>
      <c r="F21" s="19">
        <f t="shared" ref="F21" si="2">SUM(F16:F20)</f>
        <v>-377</v>
      </c>
      <c r="G21" s="19">
        <f t="shared" ref="G21" si="3">SUM(G16:G20)</f>
        <v>8948</v>
      </c>
      <c r="H21" s="33">
        <f t="shared" ref="H21:I21" si="4">SUM(H16:H20)</f>
        <v>8506</v>
      </c>
      <c r="I21" s="33">
        <f t="shared" si="4"/>
        <v>9862</v>
      </c>
    </row>
    <row r="22" spans="2:14" x14ac:dyDescent="0.3">
      <c r="C22" s="34"/>
      <c r="D22" s="34"/>
      <c r="E22" s="34"/>
      <c r="F22" s="34"/>
      <c r="G22" s="34"/>
      <c r="H22" s="35"/>
      <c r="I22" s="35"/>
    </row>
    <row r="23" spans="2:14" x14ac:dyDescent="0.3">
      <c r="B23" t="s">
        <v>123</v>
      </c>
      <c r="C23" s="36" t="s">
        <v>214</v>
      </c>
    </row>
    <row r="24" spans="2:14" x14ac:dyDescent="0.3">
      <c r="B24" t="s">
        <v>122</v>
      </c>
      <c r="C24" s="7">
        <v>35166</v>
      </c>
    </row>
    <row r="25" spans="2:14" x14ac:dyDescent="0.3">
      <c r="C25" s="19" t="s">
        <v>133</v>
      </c>
      <c r="D25" s="19" t="s">
        <v>134</v>
      </c>
      <c r="E25" s="19" t="s">
        <v>135</v>
      </c>
      <c r="F25" s="19" t="s">
        <v>136</v>
      </c>
      <c r="G25" s="19" t="s">
        <v>137</v>
      </c>
      <c r="H25" s="19" t="s">
        <v>142</v>
      </c>
      <c r="I25" s="19" t="s">
        <v>143</v>
      </c>
      <c r="J25" t="s">
        <v>144</v>
      </c>
    </row>
    <row r="26" spans="2:14" ht="15" thickBot="1" x14ac:dyDescent="0.35">
      <c r="C26" s="19" t="s">
        <v>115</v>
      </c>
      <c r="D26" s="19">
        <v>1287</v>
      </c>
      <c r="E26" s="19">
        <v>1689</v>
      </c>
      <c r="F26" s="19">
        <v>-1689</v>
      </c>
      <c r="G26" s="19">
        <v>0</v>
      </c>
      <c r="H26" s="19">
        <v>2169</v>
      </c>
      <c r="I26" s="19">
        <f>H26</f>
        <v>2169</v>
      </c>
      <c r="J26" t="s">
        <v>145</v>
      </c>
    </row>
    <row r="27" spans="2:14" x14ac:dyDescent="0.3">
      <c r="C27" s="19" t="s">
        <v>141</v>
      </c>
      <c r="D27" s="19">
        <v>85</v>
      </c>
      <c r="E27" s="19">
        <v>3870</v>
      </c>
      <c r="F27" s="19">
        <v>3648</v>
      </c>
      <c r="G27" s="19">
        <v>7518</v>
      </c>
      <c r="H27" s="19">
        <v>771</v>
      </c>
      <c r="I27" s="19">
        <f>H27</f>
        <v>771</v>
      </c>
      <c r="K27" s="44" t="s">
        <v>255</v>
      </c>
      <c r="L27" s="45"/>
      <c r="M27" s="45"/>
      <c r="N27" s="46"/>
    </row>
    <row r="28" spans="2:14" ht="14.4" customHeight="1" x14ac:dyDescent="0.3">
      <c r="C28" s="19" t="s">
        <v>116</v>
      </c>
      <c r="D28" s="19">
        <v>0</v>
      </c>
      <c r="E28" s="19">
        <v>0</v>
      </c>
      <c r="F28" s="19">
        <v>0</v>
      </c>
      <c r="G28" s="19">
        <v>0</v>
      </c>
      <c r="H28" s="33">
        <f>H31-H26-H27</f>
        <v>3479</v>
      </c>
      <c r="I28" s="33">
        <f>I31-I26-I27</f>
        <v>10222</v>
      </c>
      <c r="K28" s="47"/>
      <c r="L28" s="43"/>
      <c r="M28" s="43"/>
      <c r="N28" s="48"/>
    </row>
    <row r="29" spans="2:14" x14ac:dyDescent="0.3">
      <c r="C29" s="19" t="s">
        <v>139</v>
      </c>
      <c r="D29" s="19">
        <v>0</v>
      </c>
      <c r="E29" s="19">
        <v>715</v>
      </c>
      <c r="F29" s="19">
        <v>-715</v>
      </c>
      <c r="G29" s="19">
        <v>1430</v>
      </c>
      <c r="H29" s="19">
        <v>0</v>
      </c>
      <c r="I29" s="19">
        <f>H29</f>
        <v>0</v>
      </c>
      <c r="K29" s="47"/>
      <c r="L29" s="43"/>
      <c r="M29" s="43"/>
      <c r="N29" s="48"/>
    </row>
    <row r="30" spans="2:14" x14ac:dyDescent="0.3">
      <c r="C30" s="19" t="s">
        <v>140</v>
      </c>
      <c r="D30" s="19">
        <v>1235</v>
      </c>
      <c r="E30" s="19">
        <v>1621</v>
      </c>
      <c r="F30" s="19">
        <v>-1621</v>
      </c>
      <c r="G30" s="19">
        <v>0</v>
      </c>
      <c r="H30" s="19">
        <v>0</v>
      </c>
      <c r="I30" s="19">
        <f>H30</f>
        <v>0</v>
      </c>
      <c r="K30" s="47"/>
      <c r="L30" s="43"/>
      <c r="M30" s="43"/>
      <c r="N30" s="48"/>
    </row>
    <row r="31" spans="2:14" ht="15" thickBot="1" x14ac:dyDescent="0.35">
      <c r="C31" s="19" t="s">
        <v>112</v>
      </c>
      <c r="D31" s="19">
        <f>SUM(D26:D30)</f>
        <v>2607</v>
      </c>
      <c r="E31" s="19">
        <f t="shared" ref="E31" si="5">SUM(E26:E30)</f>
        <v>7895</v>
      </c>
      <c r="F31" s="19">
        <f t="shared" ref="F31" si="6">SUM(F26:F30)</f>
        <v>-377</v>
      </c>
      <c r="G31" s="19">
        <f t="shared" ref="G31" si="7">SUM(G26:G30)</f>
        <v>8948</v>
      </c>
      <c r="H31" s="33">
        <v>6419</v>
      </c>
      <c r="I31" s="33">
        <v>13162</v>
      </c>
      <c r="K31" s="49"/>
      <c r="L31" s="50"/>
      <c r="M31" s="50"/>
      <c r="N31" s="51"/>
    </row>
    <row r="32" spans="2:14" x14ac:dyDescent="0.3">
      <c r="C32" s="34"/>
      <c r="D32" s="34"/>
      <c r="E32" s="34"/>
      <c r="F32" s="34"/>
      <c r="G32" s="34"/>
      <c r="H32" s="35"/>
      <c r="I32" s="35"/>
    </row>
    <row r="33" spans="1:14" x14ac:dyDescent="0.3">
      <c r="B33" t="s">
        <v>123</v>
      </c>
      <c r="C33" s="36" t="s">
        <v>215</v>
      </c>
    </row>
    <row r="34" spans="1:14" x14ac:dyDescent="0.3">
      <c r="B34" t="s">
        <v>122</v>
      </c>
      <c r="C34" s="7">
        <v>35457</v>
      </c>
    </row>
    <row r="35" spans="1:14" x14ac:dyDescent="0.3">
      <c r="C35" s="19" t="s">
        <v>133</v>
      </c>
      <c r="D35" s="19" t="s">
        <v>134</v>
      </c>
      <c r="E35" s="19" t="s">
        <v>135</v>
      </c>
      <c r="F35" s="19" t="s">
        <v>136</v>
      </c>
      <c r="G35" s="19" t="s">
        <v>137</v>
      </c>
      <c r="H35" s="19" t="s">
        <v>216</v>
      </c>
      <c r="I35" s="34"/>
      <c r="J35" s="37" t="s">
        <v>217</v>
      </c>
      <c r="K35" s="37"/>
      <c r="L35" s="37"/>
      <c r="M35" s="37"/>
      <c r="N35" s="37"/>
    </row>
    <row r="36" spans="1:14" x14ac:dyDescent="0.3">
      <c r="C36" s="19" t="s">
        <v>115</v>
      </c>
      <c r="D36" s="19">
        <v>1287</v>
      </c>
      <c r="E36" s="19">
        <v>1689</v>
      </c>
      <c r="F36" s="19">
        <v>-1689</v>
      </c>
      <c r="G36" s="19">
        <v>0</v>
      </c>
      <c r="H36" s="19">
        <v>2169</v>
      </c>
      <c r="I36" s="34"/>
      <c r="J36" s="37"/>
      <c r="K36" s="37"/>
      <c r="L36" s="37"/>
      <c r="M36" s="37"/>
      <c r="N36" s="37"/>
    </row>
    <row r="37" spans="1:14" x14ac:dyDescent="0.3">
      <c r="C37" s="19" t="s">
        <v>141</v>
      </c>
      <c r="D37" s="19">
        <v>85</v>
      </c>
      <c r="E37" s="19">
        <v>3870</v>
      </c>
      <c r="F37" s="19">
        <v>3648</v>
      </c>
      <c r="G37" s="19">
        <v>7518</v>
      </c>
      <c r="H37" s="19">
        <v>771</v>
      </c>
      <c r="I37" s="34"/>
      <c r="J37" s="37"/>
      <c r="K37" s="37"/>
      <c r="L37" s="37"/>
      <c r="M37" s="37"/>
      <c r="N37" s="37"/>
    </row>
    <row r="38" spans="1:14" x14ac:dyDescent="0.3">
      <c r="C38" s="19" t="s">
        <v>116</v>
      </c>
      <c r="D38" s="19">
        <v>0</v>
      </c>
      <c r="E38" s="19">
        <v>0</v>
      </c>
      <c r="F38" s="19">
        <v>0</v>
      </c>
      <c r="G38" s="19">
        <v>0</v>
      </c>
      <c r="H38" s="33">
        <f>H41-H36-H37</f>
        <v>5188</v>
      </c>
      <c r="I38" s="35"/>
      <c r="J38" s="37"/>
      <c r="K38" s="37"/>
      <c r="L38" s="37"/>
      <c r="M38" s="37"/>
      <c r="N38" s="37"/>
    </row>
    <row r="39" spans="1:14" x14ac:dyDescent="0.3">
      <c r="C39" s="19" t="s">
        <v>139</v>
      </c>
      <c r="D39" s="19">
        <v>0</v>
      </c>
      <c r="E39" s="19">
        <v>715</v>
      </c>
      <c r="F39" s="19">
        <v>-715</v>
      </c>
      <c r="G39" s="19">
        <v>1430</v>
      </c>
      <c r="H39" s="19">
        <v>0</v>
      </c>
      <c r="I39" s="34"/>
    </row>
    <row r="40" spans="1:14" x14ac:dyDescent="0.3">
      <c r="C40" s="19" t="s">
        <v>140</v>
      </c>
      <c r="D40" s="19">
        <v>1235</v>
      </c>
      <c r="E40" s="19">
        <v>1621</v>
      </c>
      <c r="F40" s="19">
        <v>-1621</v>
      </c>
      <c r="G40" s="19">
        <v>0</v>
      </c>
      <c r="H40" s="19">
        <v>0</v>
      </c>
      <c r="I40" s="34"/>
    </row>
    <row r="41" spans="1:14" x14ac:dyDescent="0.3">
      <c r="C41" s="19" t="s">
        <v>112</v>
      </c>
      <c r="D41" s="19">
        <f>SUM(D36:D40)</f>
        <v>2607</v>
      </c>
      <c r="E41" s="19">
        <f t="shared" ref="E41" si="8">SUM(E36:E40)</f>
        <v>7895</v>
      </c>
      <c r="F41" s="19">
        <f t="shared" ref="F41" si="9">SUM(F36:F40)</f>
        <v>-377</v>
      </c>
      <c r="G41" s="19">
        <f t="shared" ref="G41" si="10">SUM(G36:G40)</f>
        <v>8948</v>
      </c>
      <c r="H41" s="33">
        <v>8128</v>
      </c>
      <c r="I41" s="35"/>
    </row>
    <row r="43" spans="1:14" ht="15.6" x14ac:dyDescent="0.3">
      <c r="A43" s="26" t="s">
        <v>201</v>
      </c>
    </row>
    <row r="44" spans="1:14" x14ac:dyDescent="0.3">
      <c r="B44" t="s">
        <v>126</v>
      </c>
      <c r="C44" s="7"/>
      <c r="J44" t="s">
        <v>144</v>
      </c>
    </row>
    <row r="45" spans="1:14" x14ac:dyDescent="0.3">
      <c r="C45" s="19" t="s">
        <v>133</v>
      </c>
      <c r="D45" s="19" t="s">
        <v>134</v>
      </c>
      <c r="E45" s="19" t="s">
        <v>135</v>
      </c>
      <c r="F45" s="19" t="s">
        <v>136</v>
      </c>
      <c r="G45" s="19" t="s">
        <v>137</v>
      </c>
      <c r="H45" s="19" t="s">
        <v>142</v>
      </c>
      <c r="I45" s="19" t="s">
        <v>143</v>
      </c>
      <c r="J45" t="s">
        <v>145</v>
      </c>
    </row>
    <row r="46" spans="1:14" x14ac:dyDescent="0.3">
      <c r="C46" s="19" t="s">
        <v>115</v>
      </c>
      <c r="D46" s="27" t="s">
        <v>223</v>
      </c>
      <c r="E46" s="27" t="s">
        <v>223</v>
      </c>
      <c r="F46" s="27" t="s">
        <v>223</v>
      </c>
      <c r="G46" s="29"/>
      <c r="H46" s="27" t="s">
        <v>243</v>
      </c>
      <c r="I46" s="27" t="s">
        <v>243</v>
      </c>
      <c r="K46" t="s">
        <v>126</v>
      </c>
    </row>
    <row r="47" spans="1:14" x14ac:dyDescent="0.3">
      <c r="C47" s="19" t="s">
        <v>141</v>
      </c>
      <c r="D47" s="27" t="s">
        <v>223</v>
      </c>
      <c r="E47" s="27" t="s">
        <v>223</v>
      </c>
      <c r="F47" s="27" t="s">
        <v>223</v>
      </c>
      <c r="G47" s="27" t="s">
        <v>223</v>
      </c>
      <c r="H47" s="27" t="s">
        <v>243</v>
      </c>
      <c r="I47" s="27" t="s">
        <v>243</v>
      </c>
      <c r="K47" t="s">
        <v>219</v>
      </c>
    </row>
    <row r="48" spans="1:14" x14ac:dyDescent="0.3">
      <c r="C48" s="19" t="s">
        <v>116</v>
      </c>
      <c r="D48" s="28"/>
      <c r="E48" s="29"/>
      <c r="F48" s="29"/>
      <c r="G48" s="29"/>
      <c r="H48" s="27" t="s">
        <v>128</v>
      </c>
      <c r="I48" s="27" t="s">
        <v>243</v>
      </c>
      <c r="K48" t="s">
        <v>149</v>
      </c>
    </row>
    <row r="49" spans="2:11" x14ac:dyDescent="0.3">
      <c r="C49" s="19" t="s">
        <v>139</v>
      </c>
      <c r="D49" s="28"/>
      <c r="E49" s="27" t="s">
        <v>223</v>
      </c>
      <c r="F49" s="27" t="s">
        <v>223</v>
      </c>
      <c r="G49" s="27" t="s">
        <v>223</v>
      </c>
      <c r="H49" s="29"/>
      <c r="I49" s="29"/>
      <c r="K49" s="39" t="s">
        <v>211</v>
      </c>
    </row>
    <row r="50" spans="2:11" x14ac:dyDescent="0.3">
      <c r="C50" s="19" t="s">
        <v>140</v>
      </c>
      <c r="D50" s="27" t="s">
        <v>223</v>
      </c>
      <c r="E50" s="27" t="s">
        <v>223</v>
      </c>
      <c r="F50" s="27" t="s">
        <v>223</v>
      </c>
      <c r="G50" s="29"/>
      <c r="H50" s="29"/>
      <c r="I50" s="29"/>
      <c r="K50" t="s">
        <v>220</v>
      </c>
    </row>
    <row r="51" spans="2:11" x14ac:dyDescent="0.3">
      <c r="C51" s="19" t="s">
        <v>112</v>
      </c>
      <c r="D51" s="27" t="s">
        <v>224</v>
      </c>
      <c r="E51" s="27" t="s">
        <v>225</v>
      </c>
      <c r="F51" s="27" t="s">
        <v>225</v>
      </c>
      <c r="G51" s="27" t="s">
        <v>224</v>
      </c>
      <c r="H51" s="27" t="s">
        <v>221</v>
      </c>
      <c r="I51" s="27" t="s">
        <v>241</v>
      </c>
      <c r="K51" s="39" t="s">
        <v>222</v>
      </c>
    </row>
    <row r="52" spans="2:11" x14ac:dyDescent="0.3">
      <c r="K52" t="s">
        <v>242</v>
      </c>
    </row>
    <row r="53" spans="2:11" x14ac:dyDescent="0.3">
      <c r="B53" t="s">
        <v>125</v>
      </c>
    </row>
    <row r="54" spans="2:11" x14ac:dyDescent="0.3">
      <c r="C54" s="19" t="s">
        <v>133</v>
      </c>
      <c r="D54" s="19" t="s">
        <v>134</v>
      </c>
      <c r="E54" s="19" t="s">
        <v>135</v>
      </c>
      <c r="F54" s="19" t="s">
        <v>136</v>
      </c>
      <c r="G54" s="19" t="s">
        <v>137</v>
      </c>
      <c r="H54" s="19" t="s">
        <v>142</v>
      </c>
      <c r="I54" s="19" t="s">
        <v>143</v>
      </c>
    </row>
    <row r="55" spans="2:11" x14ac:dyDescent="0.3">
      <c r="C55" s="19" t="s">
        <v>115</v>
      </c>
      <c r="D55" s="40">
        <f>Seismic!A23</f>
        <v>1351.207273345133</v>
      </c>
      <c r="E55" s="40">
        <f>Seismic!A27</f>
        <v>1136.9142448380533</v>
      </c>
      <c r="F55" s="40">
        <f>Seismic!A26</f>
        <v>-1136.9142448380533</v>
      </c>
      <c r="G55" s="40">
        <v>0</v>
      </c>
      <c r="H55" s="40">
        <f>Seismic!A23</f>
        <v>1351.207273345133</v>
      </c>
      <c r="I55" s="41">
        <f>Seismic!A23</f>
        <v>1351.207273345133</v>
      </c>
    </row>
    <row r="56" spans="2:11" x14ac:dyDescent="0.3">
      <c r="C56" s="19" t="s">
        <v>141</v>
      </c>
      <c r="D56" s="40">
        <f>'Dead Load'!A31</f>
        <v>136.50139275766014</v>
      </c>
      <c r="E56" s="40">
        <f>'Dead Load'!A33</f>
        <v>3874.9504701327442</v>
      </c>
      <c r="F56" s="40">
        <f>'Dead Load'!A34</f>
        <v>3645.244220132744</v>
      </c>
      <c r="G56" s="40">
        <f>'Dead Load'!A23</f>
        <v>7370.1946902654881</v>
      </c>
      <c r="H56" s="40">
        <f>'Dead Load'!A28+Vacuum!A16</f>
        <v>345.18078502689826</v>
      </c>
      <c r="I56" s="41">
        <f>H56</f>
        <v>345.18078502689826</v>
      </c>
    </row>
    <row r="57" spans="2:11" x14ac:dyDescent="0.3">
      <c r="C57" s="19" t="s">
        <v>116</v>
      </c>
      <c r="D57" s="40">
        <v>0</v>
      </c>
      <c r="E57" s="40">
        <v>0</v>
      </c>
      <c r="F57" s="40">
        <v>0</v>
      </c>
      <c r="G57" s="40">
        <v>0</v>
      </c>
      <c r="H57" s="40">
        <f>Thermal!A15</f>
        <v>3728.8000000000015</v>
      </c>
      <c r="I57" s="41">
        <f>Thermal!A23</f>
        <v>10222.32</v>
      </c>
    </row>
    <row r="58" spans="2:11" x14ac:dyDescent="0.3">
      <c r="C58" s="19" t="s">
        <v>139</v>
      </c>
      <c r="D58" s="40">
        <v>0</v>
      </c>
      <c r="E58" s="40">
        <f>Settlement!A9</f>
        <v>670</v>
      </c>
      <c r="F58" s="40">
        <f>Settlement!A8</f>
        <v>-670</v>
      </c>
      <c r="G58" s="40">
        <f>Settlement!A7</f>
        <v>1340</v>
      </c>
      <c r="H58" s="40">
        <v>0</v>
      </c>
      <c r="I58" s="41">
        <v>0</v>
      </c>
    </row>
    <row r="59" spans="2:11" x14ac:dyDescent="0.3">
      <c r="C59" s="19" t="s">
        <v>140</v>
      </c>
      <c r="D59" s="40">
        <f>'Horiz Align'!A8</f>
        <v>341</v>
      </c>
      <c r="E59" s="40">
        <f>'Horiz Align'!A11</f>
        <v>286.91953125000003</v>
      </c>
      <c r="F59" s="40">
        <f>'Horiz Align'!A12</f>
        <v>-286.91953125000003</v>
      </c>
      <c r="G59" s="40">
        <v>0</v>
      </c>
      <c r="H59" s="40">
        <v>0</v>
      </c>
      <c r="I59" s="41">
        <v>0</v>
      </c>
    </row>
    <row r="60" spans="2:11" x14ac:dyDescent="0.3">
      <c r="C60" s="19" t="s">
        <v>112</v>
      </c>
      <c r="D60" s="40">
        <f>SUM(D55:D59)</f>
        <v>1828.7086661027931</v>
      </c>
      <c r="E60" s="40">
        <f t="shared" ref="E60:I60" si="11">SUM(E55:E59)</f>
        <v>5968.7842462207973</v>
      </c>
      <c r="F60" s="40">
        <f t="shared" si="11"/>
        <v>1551.4104440446904</v>
      </c>
      <c r="G60" s="40">
        <f t="shared" si="11"/>
        <v>8710.194690265489</v>
      </c>
      <c r="H60" s="40">
        <f t="shared" si="11"/>
        <v>5425.1880583720331</v>
      </c>
      <c r="I60" s="40">
        <f t="shared" si="11"/>
        <v>11918.708058372031</v>
      </c>
    </row>
  </sheetData>
  <mergeCells count="2">
    <mergeCell ref="J35:N38"/>
    <mergeCell ref="K27:N3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9" workbookViewId="0">
      <selection activeCell="C23" sqref="C23:J29"/>
    </sheetView>
  </sheetViews>
  <sheetFormatPr defaultRowHeight="14.4" x14ac:dyDescent="0.3"/>
  <cols>
    <col min="2" max="2" width="11.88671875" customWidth="1"/>
    <col min="3" max="3" width="10.5546875" bestFit="1" customWidth="1"/>
  </cols>
  <sheetData>
    <row r="1" spans="1:17" ht="15.6" x14ac:dyDescent="0.3">
      <c r="A1" s="26" t="s">
        <v>146</v>
      </c>
    </row>
    <row r="3" spans="1:17" x14ac:dyDescent="0.3">
      <c r="B3" t="s">
        <v>123</v>
      </c>
      <c r="C3" t="s">
        <v>302</v>
      </c>
    </row>
    <row r="4" spans="1:17" ht="15" thickBot="1" x14ac:dyDescent="0.35">
      <c r="B4" t="s">
        <v>122</v>
      </c>
      <c r="C4" s="7" t="s">
        <v>303</v>
      </c>
    </row>
    <row r="5" spans="1:17" ht="14.4" customHeight="1" x14ac:dyDescent="0.3">
      <c r="C5" s="19" t="s">
        <v>133</v>
      </c>
      <c r="D5" s="19" t="s">
        <v>134</v>
      </c>
      <c r="E5" s="19" t="s">
        <v>135</v>
      </c>
      <c r="F5" s="19" t="s">
        <v>136</v>
      </c>
      <c r="G5" s="19" t="s">
        <v>147</v>
      </c>
      <c r="H5" s="19" t="s">
        <v>148</v>
      </c>
      <c r="I5" s="19" t="s">
        <v>137</v>
      </c>
      <c r="J5" s="19" t="s">
        <v>138</v>
      </c>
      <c r="L5" s="58" t="s">
        <v>336</v>
      </c>
      <c r="M5" s="60"/>
      <c r="N5" s="60"/>
      <c r="O5" s="60"/>
      <c r="P5" s="60"/>
      <c r="Q5" s="61"/>
    </row>
    <row r="6" spans="1:17" x14ac:dyDescent="0.3">
      <c r="C6" s="19" t="s">
        <v>115</v>
      </c>
      <c r="D6" s="19">
        <v>882</v>
      </c>
      <c r="E6" s="19">
        <v>580</v>
      </c>
      <c r="F6" s="19">
        <v>-580</v>
      </c>
      <c r="G6" s="19">
        <v>579</v>
      </c>
      <c r="H6" s="19">
        <v>-579</v>
      </c>
      <c r="I6" s="19">
        <v>0</v>
      </c>
      <c r="J6" s="19">
        <v>0</v>
      </c>
      <c r="L6" s="62"/>
      <c r="M6" s="63"/>
      <c r="N6" s="63"/>
      <c r="O6" s="63"/>
      <c r="P6" s="63"/>
      <c r="Q6" s="64"/>
    </row>
    <row r="7" spans="1:17" x14ac:dyDescent="0.3">
      <c r="C7" s="19" t="s">
        <v>141</v>
      </c>
      <c r="D7" s="19">
        <v>86</v>
      </c>
      <c r="E7" s="19">
        <v>1667</v>
      </c>
      <c r="F7" s="19">
        <v>1556</v>
      </c>
      <c r="G7" s="19">
        <v>1667</v>
      </c>
      <c r="H7" s="19">
        <v>1556</v>
      </c>
      <c r="I7" s="19">
        <v>6449</v>
      </c>
      <c r="J7" s="19">
        <v>0</v>
      </c>
      <c r="L7" s="62"/>
      <c r="M7" s="63"/>
      <c r="N7" s="63"/>
      <c r="O7" s="63"/>
      <c r="P7" s="63"/>
      <c r="Q7" s="64"/>
    </row>
    <row r="8" spans="1:17" x14ac:dyDescent="0.3">
      <c r="C8" s="19" t="s">
        <v>116</v>
      </c>
      <c r="D8" s="19">
        <v>657</v>
      </c>
      <c r="E8" s="19">
        <v>600</v>
      </c>
      <c r="F8" s="19">
        <v>-600</v>
      </c>
      <c r="G8" s="19">
        <v>600</v>
      </c>
      <c r="H8" s="19">
        <v>-600</v>
      </c>
      <c r="I8" s="19">
        <v>672</v>
      </c>
      <c r="J8" s="19">
        <v>0</v>
      </c>
      <c r="L8" s="62"/>
      <c r="M8" s="63"/>
      <c r="N8" s="63"/>
      <c r="O8" s="63"/>
      <c r="P8" s="63"/>
      <c r="Q8" s="64"/>
    </row>
    <row r="9" spans="1:17" x14ac:dyDescent="0.3">
      <c r="C9" s="19" t="s">
        <v>139</v>
      </c>
      <c r="D9" s="19">
        <v>0</v>
      </c>
      <c r="E9" s="33">
        <v>716</v>
      </c>
      <c r="F9" s="33">
        <v>-716</v>
      </c>
      <c r="G9" s="19">
        <v>366</v>
      </c>
      <c r="H9" s="19">
        <v>-366</v>
      </c>
      <c r="I9" s="19">
        <v>703</v>
      </c>
      <c r="J9" s="19">
        <v>0</v>
      </c>
      <c r="L9" s="62"/>
      <c r="M9" s="63"/>
      <c r="N9" s="63"/>
      <c r="O9" s="63"/>
      <c r="P9" s="63"/>
      <c r="Q9" s="64"/>
    </row>
    <row r="10" spans="1:17" ht="15" thickBot="1" x14ac:dyDescent="0.35">
      <c r="C10" s="19" t="s">
        <v>112</v>
      </c>
      <c r="D10" s="19">
        <f>SUM(D6:D9)</f>
        <v>1625</v>
      </c>
      <c r="E10" s="19">
        <f>SUM(E6:E9)</f>
        <v>3563</v>
      </c>
      <c r="F10" s="19">
        <f>SUM(F6:F9)</f>
        <v>-340</v>
      </c>
      <c r="G10" s="19">
        <f t="shared" ref="G10:H10" si="0">SUM(G6:G9)</f>
        <v>3212</v>
      </c>
      <c r="H10" s="19">
        <f t="shared" si="0"/>
        <v>11</v>
      </c>
      <c r="I10" s="19">
        <f>SUM(I6:I9)</f>
        <v>7824</v>
      </c>
      <c r="J10" s="19">
        <f>SUM(J6:J9)</f>
        <v>0</v>
      </c>
      <c r="L10" s="65"/>
      <c r="M10" s="66"/>
      <c r="N10" s="66"/>
      <c r="O10" s="66"/>
      <c r="P10" s="66"/>
      <c r="Q10" s="67"/>
    </row>
    <row r="12" spans="1:17" ht="15.6" x14ac:dyDescent="0.3">
      <c r="A12" s="26" t="s">
        <v>201</v>
      </c>
    </row>
    <row r="13" spans="1:17" x14ac:dyDescent="0.3">
      <c r="B13" t="s">
        <v>126</v>
      </c>
      <c r="C13" s="7"/>
      <c r="L13" t="s">
        <v>126</v>
      </c>
    </row>
    <row r="14" spans="1:17" x14ac:dyDescent="0.3">
      <c r="C14" s="19" t="s">
        <v>133</v>
      </c>
      <c r="D14" s="19" t="s">
        <v>134</v>
      </c>
      <c r="E14" s="19" t="s">
        <v>135</v>
      </c>
      <c r="F14" s="19" t="s">
        <v>136</v>
      </c>
      <c r="G14" s="19" t="s">
        <v>147</v>
      </c>
      <c r="H14" s="19" t="s">
        <v>148</v>
      </c>
      <c r="I14" s="19" t="s">
        <v>137</v>
      </c>
      <c r="J14" s="19" t="s">
        <v>138</v>
      </c>
      <c r="L14" t="s">
        <v>306</v>
      </c>
    </row>
    <row r="15" spans="1:17" x14ac:dyDescent="0.3">
      <c r="C15" s="19" t="s">
        <v>115</v>
      </c>
      <c r="D15" s="27" t="s">
        <v>150</v>
      </c>
      <c r="E15" s="27" t="s">
        <v>150</v>
      </c>
      <c r="F15" s="27" t="s">
        <v>150</v>
      </c>
      <c r="G15" s="27" t="s">
        <v>150</v>
      </c>
      <c r="H15" s="27" t="s">
        <v>150</v>
      </c>
      <c r="I15" s="29"/>
      <c r="J15" s="29"/>
      <c r="L15" t="s">
        <v>305</v>
      </c>
    </row>
    <row r="16" spans="1:17" x14ac:dyDescent="0.3">
      <c r="C16" s="19" t="s">
        <v>141</v>
      </c>
      <c r="D16" s="27" t="s">
        <v>150</v>
      </c>
      <c r="E16" s="27" t="s">
        <v>150</v>
      </c>
      <c r="F16" s="27" t="s">
        <v>150</v>
      </c>
      <c r="G16" s="27" t="s">
        <v>150</v>
      </c>
      <c r="H16" s="27" t="s">
        <v>150</v>
      </c>
      <c r="I16" s="27" t="s">
        <v>150</v>
      </c>
      <c r="J16" s="28"/>
      <c r="L16" t="s">
        <v>309</v>
      </c>
    </row>
    <row r="17" spans="2:17" x14ac:dyDescent="0.3">
      <c r="C17" s="19" t="s">
        <v>116</v>
      </c>
      <c r="D17" s="27" t="s">
        <v>150</v>
      </c>
      <c r="E17" s="27" t="s">
        <v>150</v>
      </c>
      <c r="F17" s="27" t="s">
        <v>150</v>
      </c>
      <c r="G17" s="27" t="s">
        <v>150</v>
      </c>
      <c r="H17" s="27" t="s">
        <v>150</v>
      </c>
      <c r="I17" s="27" t="s">
        <v>150</v>
      </c>
      <c r="J17" s="29"/>
      <c r="K17" s="8"/>
    </row>
    <row r="18" spans="2:17" x14ac:dyDescent="0.3">
      <c r="C18" s="19" t="s">
        <v>139</v>
      </c>
      <c r="D18" s="28"/>
      <c r="E18" s="27" t="s">
        <v>150</v>
      </c>
      <c r="F18" s="27" t="s">
        <v>150</v>
      </c>
      <c r="G18" s="27" t="s">
        <v>150</v>
      </c>
      <c r="H18" s="27" t="s">
        <v>150</v>
      </c>
      <c r="I18" s="27" t="s">
        <v>150</v>
      </c>
      <c r="J18" s="29"/>
      <c r="K18" s="8"/>
    </row>
    <row r="19" spans="2:17" x14ac:dyDescent="0.3">
      <c r="C19" s="19" t="s">
        <v>140</v>
      </c>
      <c r="D19" s="27" t="s">
        <v>150</v>
      </c>
      <c r="E19" s="27" t="s">
        <v>150</v>
      </c>
      <c r="F19" s="27" t="s">
        <v>150</v>
      </c>
      <c r="G19" s="27" t="s">
        <v>150</v>
      </c>
      <c r="H19" s="27" t="s">
        <v>150</v>
      </c>
      <c r="I19" s="27" t="s">
        <v>150</v>
      </c>
      <c r="J19" s="29"/>
      <c r="K19" s="8"/>
    </row>
    <row r="20" spans="2:17" x14ac:dyDescent="0.3">
      <c r="C20" s="19" t="s">
        <v>112</v>
      </c>
      <c r="D20" s="27" t="s">
        <v>221</v>
      </c>
      <c r="E20" s="27" t="s">
        <v>127</v>
      </c>
      <c r="F20" s="27" t="s">
        <v>127</v>
      </c>
      <c r="G20" s="27" t="s">
        <v>127</v>
      </c>
      <c r="H20" s="27" t="s">
        <v>127</v>
      </c>
      <c r="I20" s="27" t="s">
        <v>221</v>
      </c>
      <c r="J20" s="27" t="s">
        <v>221</v>
      </c>
    </row>
    <row r="22" spans="2:17" ht="15" thickBot="1" x14ac:dyDescent="0.35">
      <c r="B22" t="s">
        <v>125</v>
      </c>
    </row>
    <row r="23" spans="2:17" ht="14.4" customHeight="1" x14ac:dyDescent="0.3">
      <c r="C23" s="19" t="s">
        <v>133</v>
      </c>
      <c r="D23" s="19" t="s">
        <v>134</v>
      </c>
      <c r="E23" s="19" t="s">
        <v>135</v>
      </c>
      <c r="F23" s="19" t="s">
        <v>136</v>
      </c>
      <c r="G23" s="19" t="s">
        <v>147</v>
      </c>
      <c r="H23" s="19" t="s">
        <v>148</v>
      </c>
      <c r="I23" s="19" t="s">
        <v>137</v>
      </c>
      <c r="J23" s="19" t="s">
        <v>138</v>
      </c>
      <c r="L23" s="58" t="s">
        <v>335</v>
      </c>
      <c r="M23" s="60"/>
      <c r="N23" s="60"/>
      <c r="O23" s="60"/>
      <c r="P23" s="60"/>
      <c r="Q23" s="61"/>
    </row>
    <row r="24" spans="2:17" x14ac:dyDescent="0.3">
      <c r="C24" s="19" t="s">
        <v>115</v>
      </c>
      <c r="D24" s="40">
        <f>Seismic!A30</f>
        <v>817.63394665486726</v>
      </c>
      <c r="E24" s="40">
        <f>Seismic!A33</f>
        <v>572.34376265840706</v>
      </c>
      <c r="F24" s="40">
        <f>Seismic!A34</f>
        <v>-572.34376265840706</v>
      </c>
      <c r="G24" s="40">
        <f>Seismic!A35</f>
        <v>572.34376265840706</v>
      </c>
      <c r="H24" s="40">
        <f>Seismic!A36</f>
        <v>-572.34376265840706</v>
      </c>
      <c r="I24" s="57">
        <v>0</v>
      </c>
      <c r="J24" s="57">
        <v>0</v>
      </c>
      <c r="L24" s="62"/>
      <c r="M24" s="63"/>
      <c r="N24" s="63"/>
      <c r="O24" s="63"/>
      <c r="P24" s="63"/>
      <c r="Q24" s="64"/>
    </row>
    <row r="25" spans="2:17" x14ac:dyDescent="0.3">
      <c r="C25" s="19" t="s">
        <v>141</v>
      </c>
      <c r="D25" s="57">
        <v>0</v>
      </c>
      <c r="E25" s="40">
        <f>'Dead Load'!A38</f>
        <v>1114.9513274336284</v>
      </c>
      <c r="F25" s="40">
        <f>'Dead Load'!A39</f>
        <v>1114.9513274336284</v>
      </c>
      <c r="G25" s="40">
        <f>'Dead Load'!A40</f>
        <v>1114.9513274336284</v>
      </c>
      <c r="H25" s="40">
        <f>'Dead Load'!A41</f>
        <v>1114.9513274336284</v>
      </c>
      <c r="I25" s="40">
        <f>'Dead Load'!A37</f>
        <v>4459.8053097345137</v>
      </c>
      <c r="J25" s="57">
        <v>0</v>
      </c>
      <c r="L25" s="62"/>
      <c r="M25" s="63"/>
      <c r="N25" s="63"/>
      <c r="O25" s="63"/>
      <c r="P25" s="63"/>
      <c r="Q25" s="64"/>
    </row>
    <row r="26" spans="2:17" x14ac:dyDescent="0.3">
      <c r="C26" s="19" t="s">
        <v>116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L26" s="62"/>
      <c r="M26" s="63"/>
      <c r="N26" s="63"/>
      <c r="O26" s="63"/>
      <c r="P26" s="63"/>
      <c r="Q26" s="64"/>
    </row>
    <row r="27" spans="2:17" ht="15" thickBot="1" x14ac:dyDescent="0.35">
      <c r="C27" s="19" t="s">
        <v>139</v>
      </c>
      <c r="D27" s="57">
        <v>0</v>
      </c>
      <c r="E27" s="57">
        <f>Settlement!A13</f>
        <v>350.00000000000006</v>
      </c>
      <c r="F27" s="57">
        <f>Settlement!A14</f>
        <v>-350.00000000000006</v>
      </c>
      <c r="G27" s="57">
        <f>Settlement!A15</f>
        <v>350.00000000000006</v>
      </c>
      <c r="H27" s="57">
        <f>Settlement!A16</f>
        <v>-350.00000000000006</v>
      </c>
      <c r="I27" s="57">
        <f>Settlement!A12</f>
        <v>700.00000000000011</v>
      </c>
      <c r="J27" s="57">
        <v>0</v>
      </c>
      <c r="L27" s="65"/>
      <c r="M27" s="66"/>
      <c r="N27" s="66"/>
      <c r="O27" s="66"/>
      <c r="P27" s="66"/>
      <c r="Q27" s="67"/>
    </row>
    <row r="28" spans="2:17" x14ac:dyDescent="0.3">
      <c r="C28" s="19" t="s">
        <v>140</v>
      </c>
      <c r="D28" s="40">
        <f>'Horiz Align'!A18</f>
        <v>1050.8800000000001</v>
      </c>
      <c r="E28" s="40">
        <f>'Horiz Align'!A21</f>
        <v>735.6160000000001</v>
      </c>
      <c r="F28" s="40">
        <f>'Horiz Align'!A22</f>
        <v>-735.6160000000001</v>
      </c>
      <c r="G28" s="40">
        <f>'Horiz Align'!A23</f>
        <v>735.6160000000001</v>
      </c>
      <c r="H28" s="40">
        <f>'Horiz Align'!A24</f>
        <v>-735.6160000000001</v>
      </c>
      <c r="I28" s="57">
        <v>0</v>
      </c>
      <c r="J28" s="57">
        <v>0</v>
      </c>
    </row>
    <row r="29" spans="2:17" x14ac:dyDescent="0.3">
      <c r="C29" s="19" t="s">
        <v>112</v>
      </c>
      <c r="D29" s="40">
        <f>SUM(D24:D28)</f>
        <v>1868.5139466548674</v>
      </c>
      <c r="E29" s="40">
        <f t="shared" ref="E29:J29" si="1">SUM(E24:E28)</f>
        <v>2772.9110900920355</v>
      </c>
      <c r="F29" s="40">
        <f t="shared" si="1"/>
        <v>-543.00843522477885</v>
      </c>
      <c r="G29" s="40">
        <f t="shared" si="1"/>
        <v>2772.9110900920355</v>
      </c>
      <c r="H29" s="40">
        <f t="shared" si="1"/>
        <v>-543.00843522477885</v>
      </c>
      <c r="I29" s="40">
        <f t="shared" si="1"/>
        <v>5159.8053097345137</v>
      </c>
      <c r="J29" s="40">
        <f t="shared" si="1"/>
        <v>0</v>
      </c>
    </row>
  </sheetData>
  <mergeCells count="2">
    <mergeCell ref="L5:Q10"/>
    <mergeCell ref="L23:Q2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RowHeight="14.4" x14ac:dyDescent="0.3"/>
  <cols>
    <col min="3" max="3" width="16.109375" customWidth="1"/>
    <col min="4" max="4" width="46.88671875" customWidth="1"/>
    <col min="5" max="5" width="17.6640625" customWidth="1"/>
    <col min="8" max="8" width="12" bestFit="1" customWidth="1"/>
  </cols>
  <sheetData>
    <row r="1" spans="1:10" ht="15.6" x14ac:dyDescent="0.3">
      <c r="A1" s="26" t="s">
        <v>2</v>
      </c>
    </row>
    <row r="3" spans="1:10" x14ac:dyDescent="0.3">
      <c r="A3" t="s">
        <v>3</v>
      </c>
      <c r="B3" t="s">
        <v>4</v>
      </c>
      <c r="C3" t="s">
        <v>5</v>
      </c>
      <c r="D3" t="s">
        <v>6</v>
      </c>
      <c r="E3" t="s">
        <v>13</v>
      </c>
    </row>
    <row r="4" spans="1:10" x14ac:dyDescent="0.3">
      <c r="A4">
        <v>49.003999999999998</v>
      </c>
      <c r="B4" t="s">
        <v>7</v>
      </c>
      <c r="C4" t="s">
        <v>8</v>
      </c>
      <c r="D4" t="s">
        <v>9</v>
      </c>
      <c r="E4" t="s">
        <v>14</v>
      </c>
      <c r="G4">
        <f>15*PI()*A4^2/4</f>
        <v>28290.733184455432</v>
      </c>
    </row>
    <row r="5" spans="1:10" x14ac:dyDescent="0.3">
      <c r="A5">
        <v>19.812000000000001</v>
      </c>
      <c r="B5" t="s">
        <v>10</v>
      </c>
      <c r="C5" t="s">
        <v>11</v>
      </c>
      <c r="D5" t="s">
        <v>12</v>
      </c>
      <c r="E5" t="s">
        <v>14</v>
      </c>
      <c r="G5">
        <f>1866.55*16</f>
        <v>29864.799999999999</v>
      </c>
    </row>
    <row r="6" spans="1:10" x14ac:dyDescent="0.3">
      <c r="A6">
        <f>A5*1000/(25.4*12)</f>
        <v>65.000000000000014</v>
      </c>
      <c r="B6" t="s">
        <v>15</v>
      </c>
      <c r="C6" t="s">
        <v>11</v>
      </c>
      <c r="E6" t="s">
        <v>14</v>
      </c>
    </row>
    <row r="7" spans="1:10" x14ac:dyDescent="0.3">
      <c r="A7">
        <v>93.25</v>
      </c>
      <c r="B7" t="s">
        <v>15</v>
      </c>
      <c r="C7" t="s">
        <v>83</v>
      </c>
      <c r="D7" t="s">
        <v>84</v>
      </c>
      <c r="E7" t="s">
        <v>73</v>
      </c>
      <c r="G7">
        <f>130-97.67</f>
        <v>32.33</v>
      </c>
      <c r="H7">
        <f>A7*91</f>
        <v>8485.75</v>
      </c>
      <c r="J7">
        <f>3/16/PI()</f>
        <v>5.9683103659460751E-2</v>
      </c>
    </row>
    <row r="8" spans="1:10" x14ac:dyDescent="0.3">
      <c r="A8">
        <v>18.948399999999999</v>
      </c>
      <c r="B8" t="s">
        <v>10</v>
      </c>
      <c r="C8" t="s">
        <v>16</v>
      </c>
      <c r="D8" t="s">
        <v>17</v>
      </c>
      <c r="E8" t="s">
        <v>14</v>
      </c>
    </row>
    <row r="9" spans="1:10" x14ac:dyDescent="0.3">
      <c r="A9">
        <f>A8*1000/(25.4*12)</f>
        <v>62.166666666666671</v>
      </c>
      <c r="B9" t="s">
        <v>15</v>
      </c>
      <c r="C9" t="s">
        <v>16</v>
      </c>
      <c r="E9" t="s">
        <v>14</v>
      </c>
    </row>
    <row r="10" spans="1:10" x14ac:dyDescent="0.3">
      <c r="A10">
        <v>0.127</v>
      </c>
      <c r="B10" t="s">
        <v>7</v>
      </c>
      <c r="C10" t="s">
        <v>155</v>
      </c>
      <c r="D10" t="s">
        <v>156</v>
      </c>
      <c r="E10" t="s">
        <v>14</v>
      </c>
    </row>
    <row r="11" spans="1:10" x14ac:dyDescent="0.3">
      <c r="A11">
        <f>A4-2*A10</f>
        <v>48.75</v>
      </c>
      <c r="B11" t="s">
        <v>7</v>
      </c>
      <c r="C11" t="s">
        <v>158</v>
      </c>
      <c r="D11" t="s">
        <v>157</v>
      </c>
    </row>
    <row r="13" spans="1:10" x14ac:dyDescent="0.3">
      <c r="A13">
        <v>0.1875</v>
      </c>
      <c r="B13" t="s">
        <v>7</v>
      </c>
      <c r="C13" t="s">
        <v>18</v>
      </c>
      <c r="D13" t="s">
        <v>23</v>
      </c>
      <c r="E13" t="s">
        <v>14</v>
      </c>
    </row>
    <row r="14" spans="1:10" x14ac:dyDescent="0.3">
      <c r="A14">
        <v>1.75</v>
      </c>
      <c r="B14" t="s">
        <v>7</v>
      </c>
      <c r="C14" t="s">
        <v>19</v>
      </c>
      <c r="D14" t="s">
        <v>24</v>
      </c>
      <c r="E14" t="s">
        <v>14</v>
      </c>
    </row>
    <row r="15" spans="1:10" x14ac:dyDescent="0.3">
      <c r="A15">
        <v>29.84</v>
      </c>
      <c r="B15" t="s">
        <v>7</v>
      </c>
      <c r="C15" t="s">
        <v>20</v>
      </c>
      <c r="D15" t="s">
        <v>25</v>
      </c>
      <c r="E15" t="s">
        <v>14</v>
      </c>
    </row>
    <row r="16" spans="1:10" x14ac:dyDescent="0.3">
      <c r="A16">
        <v>0.375</v>
      </c>
      <c r="B16" t="s">
        <v>7</v>
      </c>
      <c r="C16" t="s">
        <v>21</v>
      </c>
      <c r="D16" t="s">
        <v>26</v>
      </c>
      <c r="E16" t="s">
        <v>14</v>
      </c>
    </row>
    <row r="17" spans="1:9" x14ac:dyDescent="0.3">
      <c r="A17">
        <v>4</v>
      </c>
      <c r="B17" t="s">
        <v>7</v>
      </c>
      <c r="C17" t="s">
        <v>22</v>
      </c>
      <c r="D17" t="s">
        <v>27</v>
      </c>
      <c r="E17" t="s">
        <v>14</v>
      </c>
    </row>
    <row r="19" spans="1:9" x14ac:dyDescent="0.3">
      <c r="A19">
        <v>28300</v>
      </c>
      <c r="B19" t="s">
        <v>28</v>
      </c>
      <c r="C19" t="s">
        <v>31</v>
      </c>
      <c r="D19" t="s">
        <v>41</v>
      </c>
      <c r="E19" t="s">
        <v>14</v>
      </c>
    </row>
    <row r="20" spans="1:9" x14ac:dyDescent="0.3">
      <c r="A20">
        <v>27000</v>
      </c>
      <c r="B20" t="s">
        <v>28</v>
      </c>
      <c r="C20" t="s">
        <v>32</v>
      </c>
      <c r="D20" t="s">
        <v>40</v>
      </c>
      <c r="E20" t="s">
        <v>14</v>
      </c>
    </row>
    <row r="21" spans="1:9" x14ac:dyDescent="0.3">
      <c r="A21" s="1">
        <f>0.00223/(302-70)</f>
        <v>9.6120689655172422E-6</v>
      </c>
      <c r="B21" t="s">
        <v>29</v>
      </c>
      <c r="C21" t="s">
        <v>33</v>
      </c>
      <c r="D21" t="s">
        <v>42</v>
      </c>
      <c r="E21" t="s">
        <v>254</v>
      </c>
      <c r="I21" s="1"/>
    </row>
    <row r="22" spans="1:9" x14ac:dyDescent="0.3">
      <c r="I22" s="1"/>
    </row>
    <row r="23" spans="1:9" x14ac:dyDescent="0.3">
      <c r="A23">
        <v>30</v>
      </c>
      <c r="B23" t="s">
        <v>7</v>
      </c>
      <c r="C23" t="s">
        <v>34</v>
      </c>
      <c r="D23" t="s">
        <v>43</v>
      </c>
      <c r="E23" t="s">
        <v>14</v>
      </c>
    </row>
    <row r="24" spans="1:9" x14ac:dyDescent="0.3">
      <c r="A24">
        <v>42</v>
      </c>
      <c r="B24" t="s">
        <v>7</v>
      </c>
      <c r="C24" t="s">
        <v>35</v>
      </c>
      <c r="D24" t="s">
        <v>44</v>
      </c>
      <c r="E24" t="s">
        <v>14</v>
      </c>
    </row>
    <row r="25" spans="1:9" x14ac:dyDescent="0.3">
      <c r="A25">
        <v>20</v>
      </c>
      <c r="B25" t="s">
        <v>7</v>
      </c>
      <c r="C25" t="s">
        <v>36</v>
      </c>
      <c r="D25" t="s">
        <v>45</v>
      </c>
      <c r="E25" t="s">
        <v>14</v>
      </c>
    </row>
    <row r="27" spans="1:9" x14ac:dyDescent="0.3">
      <c r="A27">
        <v>53.75</v>
      </c>
      <c r="B27" t="s">
        <v>7</v>
      </c>
      <c r="C27" t="s">
        <v>37</v>
      </c>
      <c r="D27" t="s">
        <v>46</v>
      </c>
      <c r="E27" t="s">
        <v>151</v>
      </c>
      <c r="F27">
        <v>55</v>
      </c>
    </row>
    <row r="28" spans="1:9" x14ac:dyDescent="0.3">
      <c r="A28">
        <v>48.75</v>
      </c>
      <c r="B28" t="s">
        <v>7</v>
      </c>
      <c r="C28" t="s">
        <v>38</v>
      </c>
      <c r="D28" t="s">
        <v>47</v>
      </c>
      <c r="E28" t="s">
        <v>151</v>
      </c>
      <c r="F28">
        <v>48.9</v>
      </c>
    </row>
    <row r="29" spans="1:9" x14ac:dyDescent="0.3">
      <c r="A29">
        <v>0.1875</v>
      </c>
      <c r="B29" t="s">
        <v>7</v>
      </c>
      <c r="C29" t="s">
        <v>39</v>
      </c>
      <c r="D29" t="s">
        <v>48</v>
      </c>
      <c r="E29" t="s">
        <v>14</v>
      </c>
    </row>
    <row r="30" spans="1:9" x14ac:dyDescent="0.3">
      <c r="A30">
        <v>5425</v>
      </c>
      <c r="B30" t="s">
        <v>30</v>
      </c>
      <c r="C30" t="s">
        <v>74</v>
      </c>
      <c r="D30" t="s">
        <v>78</v>
      </c>
      <c r="E30" t="s">
        <v>73</v>
      </c>
    </row>
    <row r="31" spans="1:9" x14ac:dyDescent="0.3">
      <c r="A31">
        <v>5240</v>
      </c>
      <c r="B31" t="s">
        <v>30</v>
      </c>
      <c r="C31" t="s">
        <v>75</v>
      </c>
      <c r="D31" t="s">
        <v>77</v>
      </c>
      <c r="E31" t="s">
        <v>73</v>
      </c>
    </row>
    <row r="32" spans="1:9" x14ac:dyDescent="0.3">
      <c r="A32">
        <v>1000</v>
      </c>
      <c r="B32" t="s">
        <v>30</v>
      </c>
      <c r="C32" t="s">
        <v>76</v>
      </c>
      <c r="D32" t="s">
        <v>79</v>
      </c>
      <c r="E32" t="s">
        <v>244</v>
      </c>
    </row>
    <row r="33" spans="1:5" x14ac:dyDescent="0.3">
      <c r="A33">
        <v>8000</v>
      </c>
      <c r="B33" t="s">
        <v>30</v>
      </c>
      <c r="C33" t="s">
        <v>250</v>
      </c>
      <c r="D33" t="s">
        <v>54</v>
      </c>
      <c r="E33" t="s">
        <v>249</v>
      </c>
    </row>
    <row r="34" spans="1:5" x14ac:dyDescent="0.3">
      <c r="A34">
        <v>7000</v>
      </c>
      <c r="B34" t="s">
        <v>30</v>
      </c>
      <c r="C34" t="s">
        <v>251</v>
      </c>
      <c r="D34" t="s">
        <v>252</v>
      </c>
      <c r="E34" t="s">
        <v>249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4" sqref="C24"/>
    </sheetView>
  </sheetViews>
  <sheetFormatPr defaultRowHeight="14.4" x14ac:dyDescent="0.3"/>
  <cols>
    <col min="3" max="3" width="32.109375" customWidth="1"/>
    <col min="4" max="4" width="45.6640625" customWidth="1"/>
    <col min="5" max="5" width="70.21875" customWidth="1"/>
  </cols>
  <sheetData>
    <row r="1" spans="1:5" ht="15.6" x14ac:dyDescent="0.3">
      <c r="A1" s="26" t="s">
        <v>285</v>
      </c>
    </row>
    <row r="2" spans="1:5" ht="15.6" x14ac:dyDescent="0.3">
      <c r="A2" s="53"/>
    </row>
    <row r="3" spans="1:5" x14ac:dyDescent="0.3">
      <c r="A3" s="25" t="s">
        <v>203</v>
      </c>
    </row>
    <row r="4" spans="1:5" x14ac:dyDescent="0.3">
      <c r="A4" t="s">
        <v>3</v>
      </c>
      <c r="B4" t="s">
        <v>4</v>
      </c>
      <c r="C4" t="s">
        <v>5</v>
      </c>
      <c r="D4" t="s">
        <v>6</v>
      </c>
      <c r="E4" t="s">
        <v>13</v>
      </c>
    </row>
    <row r="5" spans="1:5" x14ac:dyDescent="0.3">
      <c r="A5">
        <f>PI()*'input parameters'!A11^2/4</f>
        <v>1866.5478226992482</v>
      </c>
      <c r="B5" t="s">
        <v>152</v>
      </c>
      <c r="C5" t="s">
        <v>154</v>
      </c>
      <c r="D5" t="s">
        <v>259</v>
      </c>
      <c r="E5" t="s">
        <v>168</v>
      </c>
    </row>
    <row r="6" spans="1:5" x14ac:dyDescent="0.3">
      <c r="A6">
        <v>15.7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3">
      <c r="A7" s="42">
        <f>A5*A6</f>
        <v>29304.800816378196</v>
      </c>
      <c r="B7" s="42" t="s">
        <v>161</v>
      </c>
      <c r="C7" s="42" t="s">
        <v>159</v>
      </c>
      <c r="D7" s="42" t="s">
        <v>160</v>
      </c>
    </row>
    <row r="9" spans="1:5" x14ac:dyDescent="0.3">
      <c r="A9" s="10">
        <f>PI()*(('input parameters'!A27+'input parameters'!A28)/2)^2/4</f>
        <v>2062.8973635486104</v>
      </c>
      <c r="B9" s="10" t="s">
        <v>152</v>
      </c>
      <c r="C9" s="10" t="s">
        <v>166</v>
      </c>
      <c r="D9" s="10" t="s">
        <v>153</v>
      </c>
      <c r="E9" s="10" t="s">
        <v>167</v>
      </c>
    </row>
    <row r="10" spans="1:5" ht="28.8" x14ac:dyDescent="0.3">
      <c r="A10" s="10">
        <f>A6*A9</f>
        <v>32387.488607713181</v>
      </c>
      <c r="B10" s="10" t="s">
        <v>161</v>
      </c>
      <c r="C10" s="10" t="s">
        <v>159</v>
      </c>
      <c r="D10" s="10" t="s">
        <v>169</v>
      </c>
      <c r="E10" s="18" t="s">
        <v>170</v>
      </c>
    </row>
    <row r="11" spans="1:5" x14ac:dyDescent="0.3">
      <c r="A11" s="8"/>
      <c r="B11" s="8"/>
      <c r="C11" s="8"/>
      <c r="D11" s="8"/>
      <c r="E11" s="54"/>
    </row>
    <row r="12" spans="1:5" x14ac:dyDescent="0.3">
      <c r="A12" s="25" t="s">
        <v>284</v>
      </c>
    </row>
    <row r="13" spans="1:5" x14ac:dyDescent="0.3">
      <c r="A13">
        <v>5.0000000000000001E-3</v>
      </c>
      <c r="B13" t="s">
        <v>7</v>
      </c>
      <c r="C13" s="52" t="s">
        <v>264</v>
      </c>
      <c r="D13" t="s">
        <v>262</v>
      </c>
    </row>
    <row r="14" spans="1:5" x14ac:dyDescent="0.3">
      <c r="A14">
        <f>3/16/PI()</f>
        <v>5.9683103659460751E-2</v>
      </c>
      <c r="B14" t="s">
        <v>7</v>
      </c>
      <c r="C14" s="52" t="s">
        <v>263</v>
      </c>
      <c r="D14" s="5" t="s">
        <v>265</v>
      </c>
      <c r="E14" s="52" t="s">
        <v>266</v>
      </c>
    </row>
    <row r="15" spans="1:5" x14ac:dyDescent="0.3">
      <c r="A15">
        <f>PI()*('input parameters'!A11+A14+4*A13)^2/4</f>
        <v>1872.6546484226228</v>
      </c>
      <c r="B15" t="s">
        <v>152</v>
      </c>
      <c r="C15" t="s">
        <v>261</v>
      </c>
      <c r="D15" t="s">
        <v>267</v>
      </c>
    </row>
    <row r="16" spans="1:5" x14ac:dyDescent="0.3">
      <c r="A16">
        <f>A6*(A15-A5)</f>
        <v>95.877163856981852</v>
      </c>
      <c r="B16" t="s">
        <v>65</v>
      </c>
      <c r="C16" t="s">
        <v>260</v>
      </c>
      <c r="D16" t="s">
        <v>268</v>
      </c>
      <c r="E16" t="s">
        <v>269</v>
      </c>
    </row>
    <row r="18" spans="1:1" x14ac:dyDescent="0.3">
      <c r="A18" s="25" t="s">
        <v>304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7" sqref="C7"/>
    </sheetView>
  </sheetViews>
  <sheetFormatPr defaultRowHeight="14.4" x14ac:dyDescent="0.3"/>
  <cols>
    <col min="3" max="3" width="28" customWidth="1"/>
    <col min="4" max="4" width="53.88671875" customWidth="1"/>
    <col min="5" max="5" width="17.77734375" customWidth="1"/>
    <col min="6" max="6" width="32.6640625" customWidth="1"/>
    <col min="7" max="7" width="12" bestFit="1" customWidth="1"/>
  </cols>
  <sheetData>
    <row r="1" spans="1:5" ht="15.6" x14ac:dyDescent="0.3">
      <c r="A1" s="26" t="s">
        <v>49</v>
      </c>
    </row>
    <row r="3" spans="1:5" x14ac:dyDescent="0.3">
      <c r="A3" t="s">
        <v>3</v>
      </c>
      <c r="B3" t="s">
        <v>4</v>
      </c>
      <c r="C3" t="s">
        <v>5</v>
      </c>
      <c r="D3" t="s">
        <v>6</v>
      </c>
      <c r="E3" t="s">
        <v>13</v>
      </c>
    </row>
    <row r="4" spans="1:5" x14ac:dyDescent="0.3">
      <c r="A4">
        <v>302</v>
      </c>
      <c r="B4" t="s">
        <v>50</v>
      </c>
      <c r="C4" t="s">
        <v>51</v>
      </c>
      <c r="D4" t="s">
        <v>52</v>
      </c>
      <c r="E4" t="s">
        <v>14</v>
      </c>
    </row>
    <row r="5" spans="1:5" x14ac:dyDescent="0.3">
      <c r="A5">
        <f>(A4-32)*5/9</f>
        <v>150</v>
      </c>
      <c r="B5" t="s">
        <v>53</v>
      </c>
      <c r="C5" t="s">
        <v>51</v>
      </c>
    </row>
    <row r="6" spans="1:5" x14ac:dyDescent="0.3">
      <c r="A6">
        <v>70</v>
      </c>
      <c r="B6" t="s">
        <v>50</v>
      </c>
      <c r="C6" t="s">
        <v>55</v>
      </c>
      <c r="D6" t="s">
        <v>56</v>
      </c>
      <c r="E6" t="s">
        <v>14</v>
      </c>
    </row>
    <row r="7" spans="1:5" x14ac:dyDescent="0.3">
      <c r="A7">
        <f>A4-A6</f>
        <v>232</v>
      </c>
      <c r="B7" t="s">
        <v>50</v>
      </c>
      <c r="C7" t="s">
        <v>57</v>
      </c>
      <c r="D7" t="s">
        <v>58</v>
      </c>
      <c r="E7" t="s">
        <v>14</v>
      </c>
    </row>
    <row r="8" spans="1:5" x14ac:dyDescent="0.3">
      <c r="A8">
        <v>0.25</v>
      </c>
      <c r="B8" t="s">
        <v>7</v>
      </c>
      <c r="C8" t="s">
        <v>63</v>
      </c>
      <c r="D8" t="s">
        <v>60</v>
      </c>
      <c r="E8" t="s">
        <v>73</v>
      </c>
    </row>
    <row r="10" spans="1:5" x14ac:dyDescent="0.3">
      <c r="A10" s="25" t="s">
        <v>81</v>
      </c>
    </row>
    <row r="11" spans="1:5" x14ac:dyDescent="0.3">
      <c r="A11" s="3">
        <f>2*'input parameters'!A6*12*Thermal!A7*'input parameters'!A21</f>
        <v>3.4788000000000014</v>
      </c>
      <c r="B11" t="s">
        <v>7</v>
      </c>
      <c r="C11" t="s">
        <v>61</v>
      </c>
      <c r="D11" t="s">
        <v>59</v>
      </c>
      <c r="E11" t="s">
        <v>73</v>
      </c>
    </row>
    <row r="12" spans="1:5" x14ac:dyDescent="0.3">
      <c r="A12" s="3">
        <f>A11+A8</f>
        <v>3.7288000000000014</v>
      </c>
      <c r="B12" t="s">
        <v>7</v>
      </c>
      <c r="C12" t="s">
        <v>66</v>
      </c>
      <c r="D12" t="s">
        <v>62</v>
      </c>
      <c r="E12" t="s">
        <v>73</v>
      </c>
    </row>
    <row r="13" spans="1:5" x14ac:dyDescent="0.3">
      <c r="A13">
        <v>0</v>
      </c>
      <c r="B13" t="s">
        <v>65</v>
      </c>
      <c r="C13" t="s">
        <v>67</v>
      </c>
    </row>
    <row r="14" spans="1:5" x14ac:dyDescent="0.3">
      <c r="A14">
        <v>0</v>
      </c>
      <c r="B14" t="s">
        <v>65</v>
      </c>
      <c r="C14" t="s">
        <v>68</v>
      </c>
    </row>
    <row r="15" spans="1:5" x14ac:dyDescent="0.3">
      <c r="A15" s="2">
        <f>'input parameters'!A32*Thermal!A12</f>
        <v>3728.8000000000015</v>
      </c>
      <c r="B15" t="s">
        <v>65</v>
      </c>
      <c r="C15" t="s">
        <v>82</v>
      </c>
      <c r="D15" t="s">
        <v>86</v>
      </c>
      <c r="E15" t="s">
        <v>73</v>
      </c>
    </row>
    <row r="16" spans="1:5" x14ac:dyDescent="0.3">
      <c r="A16" s="2"/>
    </row>
    <row r="17" spans="1:6" x14ac:dyDescent="0.3">
      <c r="A17" s="25" t="s">
        <v>80</v>
      </c>
    </row>
    <row r="18" spans="1:6" x14ac:dyDescent="0.3">
      <c r="A18">
        <v>1560</v>
      </c>
      <c r="B18" t="s">
        <v>7</v>
      </c>
      <c r="C18" t="s">
        <v>245</v>
      </c>
      <c r="D18" t="s">
        <v>247</v>
      </c>
      <c r="E18" t="s">
        <v>249</v>
      </c>
    </row>
    <row r="19" spans="1:6" x14ac:dyDescent="0.3">
      <c r="A19">
        <v>1128</v>
      </c>
      <c r="B19" t="s">
        <v>7</v>
      </c>
      <c r="C19" t="s">
        <v>246</v>
      </c>
      <c r="D19" t="s">
        <v>248</v>
      </c>
      <c r="E19" t="s">
        <v>249</v>
      </c>
    </row>
    <row r="20" spans="1:6" x14ac:dyDescent="0.3">
      <c r="A20" s="3">
        <f>'input parameters'!A21*(2*'input parameters'!A6-'input parameters'!A7)*12*Thermal!A7</f>
        <v>0.98343000000000091</v>
      </c>
      <c r="B20" t="s">
        <v>7</v>
      </c>
      <c r="C20" t="s">
        <v>85</v>
      </c>
      <c r="D20" t="s">
        <v>59</v>
      </c>
      <c r="E20" t="s">
        <v>73</v>
      </c>
    </row>
    <row r="21" spans="1:6" x14ac:dyDescent="0.3">
      <c r="A21">
        <v>0</v>
      </c>
      <c r="B21" t="s">
        <v>65</v>
      </c>
      <c r="C21" t="s">
        <v>67</v>
      </c>
    </row>
    <row r="22" spans="1:6" x14ac:dyDescent="0.3">
      <c r="A22">
        <v>0</v>
      </c>
      <c r="B22" t="s">
        <v>65</v>
      </c>
      <c r="C22" t="s">
        <v>68</v>
      </c>
    </row>
    <row r="23" spans="1:6" ht="28.8" x14ac:dyDescent="0.3">
      <c r="A23" s="2">
        <f>(A18*'input parameters'!A33-Thermal!A19*'input parameters'!A34)*'input parameters'!A21*Thermal!A7</f>
        <v>10222.32</v>
      </c>
      <c r="B23" t="s">
        <v>65</v>
      </c>
      <c r="C23" t="s">
        <v>253</v>
      </c>
      <c r="D23" s="4" t="s">
        <v>87</v>
      </c>
      <c r="E23" t="s">
        <v>64</v>
      </c>
      <c r="F23" t="s">
        <v>258</v>
      </c>
    </row>
    <row r="25" spans="1:6" x14ac:dyDescent="0.3">
      <c r="A25" s="25" t="s">
        <v>69</v>
      </c>
    </row>
    <row r="26" spans="1:6" x14ac:dyDescent="0.3">
      <c r="A26">
        <v>0</v>
      </c>
      <c r="B26" t="s">
        <v>65</v>
      </c>
      <c r="C26" t="s">
        <v>70</v>
      </c>
    </row>
    <row r="27" spans="1:6" x14ac:dyDescent="0.3">
      <c r="A27" s="2">
        <f>A11*'input parameters'!A24/12/'input parameters'!A9/2</f>
        <v>9.7928686327077769E-2</v>
      </c>
      <c r="B27" t="s">
        <v>65</v>
      </c>
      <c r="C27" t="s">
        <v>71</v>
      </c>
      <c r="D27" t="s">
        <v>72</v>
      </c>
      <c r="E27" t="s">
        <v>64</v>
      </c>
    </row>
    <row r="29" spans="1:6" x14ac:dyDescent="0.3">
      <c r="A29" s="25" t="s">
        <v>203</v>
      </c>
    </row>
    <row r="30" spans="1:6" x14ac:dyDescent="0.3">
      <c r="A30">
        <v>8000</v>
      </c>
      <c r="B30" t="s">
        <v>30</v>
      </c>
      <c r="C30" t="s">
        <v>0</v>
      </c>
      <c r="D30" t="s">
        <v>204</v>
      </c>
      <c r="E30" t="s">
        <v>210</v>
      </c>
      <c r="F30" t="s">
        <v>205</v>
      </c>
    </row>
    <row r="31" spans="1:6" x14ac:dyDescent="0.3">
      <c r="A31">
        <v>3</v>
      </c>
      <c r="B31" t="s">
        <v>7</v>
      </c>
      <c r="C31" t="s">
        <v>1</v>
      </c>
      <c r="D31" t="s">
        <v>206</v>
      </c>
      <c r="E31" t="s">
        <v>210</v>
      </c>
      <c r="F31" t="s">
        <v>207</v>
      </c>
    </row>
    <row r="32" spans="1:6" x14ac:dyDescent="0.3">
      <c r="A32">
        <f>A31*A30</f>
        <v>24000</v>
      </c>
      <c r="B32" t="s">
        <v>161</v>
      </c>
      <c r="C32" t="s">
        <v>208</v>
      </c>
      <c r="D32" t="s">
        <v>209</v>
      </c>
      <c r="E32" t="s">
        <v>210</v>
      </c>
      <c r="F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5" workbookViewId="0">
      <selection activeCell="C45" sqref="C45"/>
    </sheetView>
  </sheetViews>
  <sheetFormatPr defaultRowHeight="14.4" x14ac:dyDescent="0.3"/>
  <cols>
    <col min="3" max="3" width="31" customWidth="1"/>
    <col min="4" max="4" width="47.5546875" customWidth="1"/>
    <col min="5" max="5" width="57.44140625" customWidth="1"/>
  </cols>
  <sheetData>
    <row r="1" spans="1:5" ht="15.6" x14ac:dyDescent="0.3">
      <c r="A1" s="26" t="s">
        <v>88</v>
      </c>
    </row>
    <row r="3" spans="1:5" x14ac:dyDescent="0.3">
      <c r="A3" t="s">
        <v>3</v>
      </c>
      <c r="B3" t="s">
        <v>4</v>
      </c>
      <c r="C3" t="s">
        <v>5</v>
      </c>
      <c r="D3" t="s">
        <v>6</v>
      </c>
      <c r="E3" t="s">
        <v>13</v>
      </c>
    </row>
    <row r="4" spans="1:5" x14ac:dyDescent="0.3">
      <c r="A4">
        <v>100</v>
      </c>
      <c r="B4" t="s">
        <v>65</v>
      </c>
      <c r="C4" t="s">
        <v>89</v>
      </c>
      <c r="D4" t="s">
        <v>90</v>
      </c>
    </row>
    <row r="5" spans="1:5" x14ac:dyDescent="0.3">
      <c r="A5">
        <v>91</v>
      </c>
      <c r="B5" t="s">
        <v>91</v>
      </c>
      <c r="C5" t="s">
        <v>92</v>
      </c>
      <c r="D5" t="s">
        <v>93</v>
      </c>
    </row>
    <row r="7" spans="1:5" x14ac:dyDescent="0.3">
      <c r="A7" s="11">
        <v>0.59321500000000005</v>
      </c>
      <c r="B7" s="12" t="s">
        <v>95</v>
      </c>
      <c r="C7" s="11" t="s">
        <v>96</v>
      </c>
      <c r="D7" s="11" t="s">
        <v>98</v>
      </c>
      <c r="E7" s="11" t="s">
        <v>109</v>
      </c>
    </row>
    <row r="8" spans="1:5" x14ac:dyDescent="0.3">
      <c r="A8" s="11">
        <v>0.40678500000000001</v>
      </c>
      <c r="B8" s="12" t="s">
        <v>95</v>
      </c>
      <c r="C8" s="11" t="s">
        <v>97</v>
      </c>
      <c r="D8" s="11" t="s">
        <v>99</v>
      </c>
      <c r="E8" s="11" t="s">
        <v>109</v>
      </c>
    </row>
    <row r="9" spans="1:5" x14ac:dyDescent="0.3">
      <c r="A9" s="13">
        <f>A7*A5*2*'input parameters'!A6</f>
        <v>7017.7334500000015</v>
      </c>
      <c r="B9" s="11" t="s">
        <v>65</v>
      </c>
      <c r="C9" s="11" t="s">
        <v>101</v>
      </c>
      <c r="D9" s="11" t="s">
        <v>94</v>
      </c>
      <c r="E9" s="11" t="s">
        <v>110</v>
      </c>
    </row>
    <row r="10" spans="1:5" x14ac:dyDescent="0.3">
      <c r="A10" s="13">
        <f>A8*2*'input parameters'!A6*'Dead Load'!A5</f>
        <v>4812.2665500000012</v>
      </c>
      <c r="B10" s="11" t="s">
        <v>65</v>
      </c>
      <c r="C10" s="11" t="s">
        <v>100</v>
      </c>
      <c r="D10" s="11" t="s">
        <v>102</v>
      </c>
      <c r="E10" s="11" t="s">
        <v>110</v>
      </c>
    </row>
    <row r="11" spans="1:5" x14ac:dyDescent="0.3">
      <c r="B11" s="5"/>
    </row>
    <row r="12" spans="1:5" x14ac:dyDescent="0.3">
      <c r="A12">
        <f>2*3.52</f>
        <v>7.04</v>
      </c>
      <c r="B12" t="s">
        <v>104</v>
      </c>
      <c r="C12" t="s">
        <v>106</v>
      </c>
      <c r="D12" t="s">
        <v>98</v>
      </c>
      <c r="E12" t="s">
        <v>103</v>
      </c>
    </row>
    <row r="13" spans="1:5" x14ac:dyDescent="0.3">
      <c r="A13">
        <v>2.13</v>
      </c>
      <c r="B13" t="s">
        <v>104</v>
      </c>
      <c r="C13" t="s">
        <v>107</v>
      </c>
      <c r="D13" t="s">
        <v>99</v>
      </c>
      <c r="E13" t="s">
        <v>103</v>
      </c>
    </row>
    <row r="14" spans="1:5" x14ac:dyDescent="0.3">
      <c r="A14">
        <f>A12+2*A13</f>
        <v>11.3</v>
      </c>
      <c r="B14" t="s">
        <v>104</v>
      </c>
      <c r="C14" t="s">
        <v>108</v>
      </c>
      <c r="D14" t="s">
        <v>105</v>
      </c>
      <c r="E14" t="s">
        <v>103</v>
      </c>
    </row>
    <row r="15" spans="1:5" x14ac:dyDescent="0.3">
      <c r="A15" s="6">
        <f>A12/A14</f>
        <v>0.62300884955752212</v>
      </c>
      <c r="B15" s="5" t="s">
        <v>95</v>
      </c>
      <c r="C15" t="s">
        <v>96</v>
      </c>
      <c r="D15" t="s">
        <v>98</v>
      </c>
      <c r="E15" t="s">
        <v>103</v>
      </c>
    </row>
    <row r="16" spans="1:5" x14ac:dyDescent="0.3">
      <c r="A16" s="6">
        <f>A13*2/A14</f>
        <v>0.37699115044247783</v>
      </c>
      <c r="B16" s="5" t="s">
        <v>95</v>
      </c>
      <c r="C16" t="s">
        <v>97</v>
      </c>
      <c r="D16" t="s">
        <v>99</v>
      </c>
      <c r="E16" t="s">
        <v>103</v>
      </c>
    </row>
    <row r="17" spans="1:5" x14ac:dyDescent="0.3">
      <c r="A17" s="2"/>
    </row>
    <row r="18" spans="1:5" x14ac:dyDescent="0.3">
      <c r="A18" s="25" t="s">
        <v>203</v>
      </c>
    </row>
    <row r="19" spans="1:5" x14ac:dyDescent="0.3">
      <c r="A19" s="9">
        <v>0.93530000000000002</v>
      </c>
      <c r="B19" s="5" t="s">
        <v>95</v>
      </c>
      <c r="C19" t="s">
        <v>173</v>
      </c>
      <c r="D19" t="s">
        <v>172</v>
      </c>
      <c r="E19" s="10" t="s">
        <v>177</v>
      </c>
    </row>
    <row r="20" spans="1:5" x14ac:dyDescent="0.3">
      <c r="A20" s="2">
        <f>A19*A5*'input parameters'!A7</f>
        <v>7936.7219750000004</v>
      </c>
      <c r="B20" t="s">
        <v>65</v>
      </c>
      <c r="C20" t="s">
        <v>174</v>
      </c>
      <c r="D20" t="s">
        <v>176</v>
      </c>
    </row>
    <row r="22" spans="1:5" x14ac:dyDescent="0.3">
      <c r="A22" s="25" t="s">
        <v>284</v>
      </c>
    </row>
    <row r="23" spans="1:5" x14ac:dyDescent="0.3">
      <c r="A23" s="2">
        <f>A15*A5*2*'input parameters'!A6</f>
        <v>7370.1946902654881</v>
      </c>
      <c r="B23" t="s">
        <v>65</v>
      </c>
      <c r="C23" t="s">
        <v>175</v>
      </c>
      <c r="D23" t="s">
        <v>94</v>
      </c>
    </row>
    <row r="24" spans="1:5" x14ac:dyDescent="0.3">
      <c r="A24">
        <v>150</v>
      </c>
      <c r="B24" t="s">
        <v>65</v>
      </c>
      <c r="C24" t="s">
        <v>226</v>
      </c>
      <c r="D24" t="s">
        <v>227</v>
      </c>
      <c r="E24" t="s">
        <v>270</v>
      </c>
    </row>
    <row r="25" spans="1:5" x14ac:dyDescent="0.3">
      <c r="A25">
        <f>3*12+8.75</f>
        <v>44.75</v>
      </c>
      <c r="B25" t="s">
        <v>7</v>
      </c>
      <c r="C25" t="s">
        <v>232</v>
      </c>
      <c r="D25" t="s">
        <v>233</v>
      </c>
    </row>
    <row r="26" spans="1:5" x14ac:dyDescent="0.3">
      <c r="A26">
        <f>3*12+6.125-15.2</f>
        <v>26.925000000000001</v>
      </c>
      <c r="B26" t="s">
        <v>7</v>
      </c>
      <c r="C26" t="s">
        <v>239</v>
      </c>
      <c r="D26" t="s">
        <v>230</v>
      </c>
    </row>
    <row r="27" spans="1:5" x14ac:dyDescent="0.3">
      <c r="A27">
        <f>A24*A25</f>
        <v>6712.5</v>
      </c>
      <c r="B27" t="s">
        <v>229</v>
      </c>
      <c r="C27" t="s">
        <v>236</v>
      </c>
      <c r="D27" t="s">
        <v>228</v>
      </c>
    </row>
    <row r="28" spans="1:5" x14ac:dyDescent="0.3">
      <c r="A28" s="2">
        <f>A27/A26</f>
        <v>249.30362116991643</v>
      </c>
      <c r="B28" t="s">
        <v>65</v>
      </c>
      <c r="C28" t="s">
        <v>238</v>
      </c>
      <c r="D28" t="s">
        <v>231</v>
      </c>
    </row>
    <row r="29" spans="1:5" x14ac:dyDescent="0.3">
      <c r="A29">
        <f>'input parameters'!A4/2</f>
        <v>24.501999999999999</v>
      </c>
      <c r="B29" t="s">
        <v>7</v>
      </c>
      <c r="C29" t="s">
        <v>240</v>
      </c>
      <c r="D29" t="s">
        <v>234</v>
      </c>
    </row>
    <row r="30" spans="1:5" x14ac:dyDescent="0.3">
      <c r="A30">
        <f>A24*A29</f>
        <v>3675.2999999999997</v>
      </c>
      <c r="B30" t="s">
        <v>229</v>
      </c>
      <c r="C30" t="s">
        <v>235</v>
      </c>
      <c r="D30" t="s">
        <v>228</v>
      </c>
    </row>
    <row r="31" spans="1:5" ht="28.8" x14ac:dyDescent="0.3">
      <c r="A31" s="2">
        <f>A30/A26</f>
        <v>136.50139275766014</v>
      </c>
      <c r="B31" t="s">
        <v>65</v>
      </c>
      <c r="C31" t="s">
        <v>271</v>
      </c>
      <c r="D31" t="s">
        <v>237</v>
      </c>
      <c r="E31" s="4" t="s">
        <v>272</v>
      </c>
    </row>
    <row r="32" spans="1:5" ht="28.8" x14ac:dyDescent="0.3">
      <c r="A32" s="2">
        <v>16</v>
      </c>
      <c r="B32" t="s">
        <v>7</v>
      </c>
      <c r="C32" t="s">
        <v>275</v>
      </c>
      <c r="D32" s="4" t="s">
        <v>276</v>
      </c>
      <c r="E32" s="4" t="s">
        <v>281</v>
      </c>
    </row>
    <row r="33" spans="1:5" x14ac:dyDescent="0.3">
      <c r="A33" s="2">
        <f>A23+A24-A34</f>
        <v>3874.9504701327442</v>
      </c>
      <c r="B33" t="s">
        <v>65</v>
      </c>
      <c r="C33" t="s">
        <v>282</v>
      </c>
      <c r="D33" t="s">
        <v>280</v>
      </c>
      <c r="E33" t="s">
        <v>279</v>
      </c>
    </row>
    <row r="34" spans="1:5" x14ac:dyDescent="0.3">
      <c r="A34" s="2">
        <f>(A23+A24-A24*A29/A32)/2</f>
        <v>3645.244220132744</v>
      </c>
      <c r="B34" t="s">
        <v>65</v>
      </c>
      <c r="C34" t="s">
        <v>283</v>
      </c>
      <c r="D34" t="s">
        <v>280</v>
      </c>
      <c r="E34" t="s">
        <v>279</v>
      </c>
    </row>
    <row r="36" spans="1:5" x14ac:dyDescent="0.3">
      <c r="A36" s="25" t="s">
        <v>304</v>
      </c>
    </row>
    <row r="37" spans="1:5" x14ac:dyDescent="0.3">
      <c r="A37" s="2">
        <f>A16*2*'input parameters'!A6*'Dead Load'!A5</f>
        <v>4459.8053097345137</v>
      </c>
      <c r="B37" t="s">
        <v>65</v>
      </c>
      <c r="C37" t="s">
        <v>100</v>
      </c>
      <c r="D37" t="s">
        <v>102</v>
      </c>
    </row>
    <row r="38" spans="1:5" x14ac:dyDescent="0.3">
      <c r="A38" s="2">
        <f>A37/4</f>
        <v>1114.9513274336284</v>
      </c>
      <c r="B38" t="s">
        <v>161</v>
      </c>
      <c r="C38" t="s">
        <v>274</v>
      </c>
    </row>
    <row r="39" spans="1:5" x14ac:dyDescent="0.3">
      <c r="A39" s="2">
        <f>A38</f>
        <v>1114.9513274336284</v>
      </c>
      <c r="B39" t="s">
        <v>161</v>
      </c>
      <c r="C39" t="s">
        <v>273</v>
      </c>
    </row>
    <row r="40" spans="1:5" x14ac:dyDescent="0.3">
      <c r="A40" s="2">
        <f>A39</f>
        <v>1114.9513274336284</v>
      </c>
      <c r="B40" t="s">
        <v>161</v>
      </c>
      <c r="C40" t="s">
        <v>317</v>
      </c>
    </row>
    <row r="41" spans="1:5" x14ac:dyDescent="0.3">
      <c r="A41" s="2">
        <f>A40</f>
        <v>1114.9513274336284</v>
      </c>
      <c r="B41" t="s">
        <v>161</v>
      </c>
      <c r="C41" t="s">
        <v>318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15" zoomScaleNormal="115" workbookViewId="0">
      <selection activeCell="C33" sqref="C33:C36"/>
    </sheetView>
  </sheetViews>
  <sheetFormatPr defaultRowHeight="14.4" x14ac:dyDescent="0.3"/>
  <cols>
    <col min="3" max="3" width="25.77734375" customWidth="1"/>
    <col min="4" max="4" width="50.33203125" customWidth="1"/>
    <col min="5" max="5" width="85.5546875" customWidth="1"/>
  </cols>
  <sheetData>
    <row r="1" spans="1:5" ht="15.6" x14ac:dyDescent="0.3">
      <c r="A1" s="26" t="s">
        <v>183</v>
      </c>
    </row>
    <row r="3" spans="1:5" x14ac:dyDescent="0.3">
      <c r="A3" t="s">
        <v>3</v>
      </c>
      <c r="B3" t="s">
        <v>4</v>
      </c>
      <c r="C3" t="s">
        <v>5</v>
      </c>
      <c r="D3" t="s">
        <v>6</v>
      </c>
      <c r="E3" t="s">
        <v>13</v>
      </c>
    </row>
    <row r="4" spans="1:5" x14ac:dyDescent="0.3">
      <c r="A4">
        <v>0.2</v>
      </c>
      <c r="C4" t="s">
        <v>178</v>
      </c>
      <c r="D4" t="s">
        <v>185</v>
      </c>
      <c r="E4" t="s">
        <v>188</v>
      </c>
    </row>
    <row r="5" spans="1:5" x14ac:dyDescent="0.3">
      <c r="A5">
        <v>1</v>
      </c>
      <c r="C5" t="s">
        <v>179</v>
      </c>
      <c r="D5" t="s">
        <v>185</v>
      </c>
      <c r="E5" t="s">
        <v>188</v>
      </c>
    </row>
    <row r="6" spans="1:5" x14ac:dyDescent="0.3">
      <c r="A6">
        <v>2.75</v>
      </c>
      <c r="C6" t="s">
        <v>53</v>
      </c>
      <c r="D6" t="s">
        <v>185</v>
      </c>
      <c r="E6" t="s">
        <v>188</v>
      </c>
    </row>
    <row r="7" spans="1:5" x14ac:dyDescent="0.3">
      <c r="A7" s="8">
        <v>3</v>
      </c>
      <c r="B7" s="15"/>
      <c r="C7" s="8" t="s">
        <v>180</v>
      </c>
      <c r="D7" t="s">
        <v>185</v>
      </c>
      <c r="E7" t="s">
        <v>188</v>
      </c>
    </row>
    <row r="8" spans="1:5" x14ac:dyDescent="0.3">
      <c r="A8" s="8">
        <v>0.91666999999999998</v>
      </c>
      <c r="B8" s="15"/>
      <c r="C8" s="8" t="s">
        <v>181</v>
      </c>
      <c r="D8" t="s">
        <v>185</v>
      </c>
      <c r="E8" t="s">
        <v>188</v>
      </c>
    </row>
    <row r="9" spans="1:5" x14ac:dyDescent="0.3">
      <c r="A9" s="16">
        <f>'Dead Load'!A5</f>
        <v>91</v>
      </c>
      <c r="B9" s="8"/>
      <c r="C9" s="8" t="s">
        <v>184</v>
      </c>
      <c r="D9" s="8" t="s">
        <v>186</v>
      </c>
      <c r="E9" t="s">
        <v>188</v>
      </c>
    </row>
    <row r="10" spans="1:5" x14ac:dyDescent="0.3">
      <c r="A10" s="17">
        <f>A4*A5*A8*A9</f>
        <v>16.683394</v>
      </c>
      <c r="B10" s="8" t="s">
        <v>91</v>
      </c>
      <c r="C10" s="8" t="s">
        <v>182</v>
      </c>
      <c r="D10" s="8" t="s">
        <v>187</v>
      </c>
      <c r="E10" t="s">
        <v>188</v>
      </c>
    </row>
    <row r="11" spans="1:5" x14ac:dyDescent="0.3">
      <c r="B11" s="5"/>
    </row>
    <row r="12" spans="1:5" x14ac:dyDescent="0.3">
      <c r="A12" s="11">
        <f>'Dead Load'!A7</f>
        <v>0.59321500000000005</v>
      </c>
      <c r="B12" s="12" t="s">
        <v>95</v>
      </c>
      <c r="C12" s="11" t="s">
        <v>96</v>
      </c>
      <c r="D12" s="11" t="s">
        <v>98</v>
      </c>
      <c r="E12" s="11" t="s">
        <v>193</v>
      </c>
    </row>
    <row r="13" spans="1:5" x14ac:dyDescent="0.3">
      <c r="A13" s="11">
        <f>'Dead Load'!A8</f>
        <v>0.40678500000000001</v>
      </c>
      <c r="B13" s="12" t="s">
        <v>95</v>
      </c>
      <c r="C13" s="11" t="s">
        <v>97</v>
      </c>
      <c r="D13" s="11" t="s">
        <v>99</v>
      </c>
      <c r="E13" s="11" t="s">
        <v>193</v>
      </c>
    </row>
    <row r="14" spans="1:5" x14ac:dyDescent="0.3">
      <c r="A14" s="13">
        <f>A10*2*'input parameters'!A6*Seismic!A12</f>
        <v>1286.5891443223002</v>
      </c>
      <c r="B14" s="11"/>
      <c r="C14" s="11" t="s">
        <v>189</v>
      </c>
      <c r="D14" s="11" t="s">
        <v>195</v>
      </c>
      <c r="E14" s="11" t="s">
        <v>194</v>
      </c>
    </row>
    <row r="15" spans="1:5" x14ac:dyDescent="0.3">
      <c r="A15" s="13">
        <f>A10*2*'input parameters'!A6*Seismic!A13</f>
        <v>882.25207567770008</v>
      </c>
      <c r="B15" s="11"/>
      <c r="C15" s="11" t="s">
        <v>191</v>
      </c>
      <c r="D15" s="11" t="s">
        <v>196</v>
      </c>
      <c r="E15" s="11" t="s">
        <v>194</v>
      </c>
    </row>
    <row r="17" spans="1:5" x14ac:dyDescent="0.3">
      <c r="A17" s="10">
        <f>'Dead Load'!A19</f>
        <v>0.93530000000000002</v>
      </c>
      <c r="B17" s="5" t="s">
        <v>95</v>
      </c>
      <c r="C17" t="s">
        <v>173</v>
      </c>
      <c r="D17" t="s">
        <v>192</v>
      </c>
      <c r="E17" s="10" t="s">
        <v>198</v>
      </c>
    </row>
    <row r="18" spans="1:5" x14ac:dyDescent="0.3">
      <c r="A18">
        <f>'Dead Load'!A15</f>
        <v>0.62300884955752212</v>
      </c>
      <c r="B18" s="5" t="s">
        <v>95</v>
      </c>
      <c r="C18" t="s">
        <v>96</v>
      </c>
      <c r="D18" s="8" t="s">
        <v>98</v>
      </c>
      <c r="E18" t="s">
        <v>186</v>
      </c>
    </row>
    <row r="19" spans="1:5" x14ac:dyDescent="0.3">
      <c r="A19">
        <f>'Dead Load'!A16</f>
        <v>0.37699115044247783</v>
      </c>
      <c r="B19" s="5" t="s">
        <v>95</v>
      </c>
      <c r="C19" t="s">
        <v>97</v>
      </c>
      <c r="D19" s="8" t="s">
        <v>99</v>
      </c>
      <c r="E19" t="s">
        <v>186</v>
      </c>
    </row>
    <row r="20" spans="1:5" ht="42.6" customHeight="1" x14ac:dyDescent="0.3">
      <c r="A20" s="14">
        <f>A17*A10*2*'input parameters'!A6</f>
        <v>2028.5171930660003</v>
      </c>
      <c r="B20" t="s">
        <v>161</v>
      </c>
      <c r="C20" t="s">
        <v>190</v>
      </c>
      <c r="D20" s="8" t="s">
        <v>197</v>
      </c>
      <c r="E20" s="18" t="s">
        <v>199</v>
      </c>
    </row>
    <row r="21" spans="1:5" s="8" customFormat="1" ht="14.4" customHeight="1" x14ac:dyDescent="0.3">
      <c r="A21" s="16"/>
      <c r="E21" s="54"/>
    </row>
    <row r="22" spans="1:5" s="8" customFormat="1" ht="14.4" customHeight="1" x14ac:dyDescent="0.3">
      <c r="A22" s="56" t="s">
        <v>284</v>
      </c>
      <c r="E22" s="54"/>
    </row>
    <row r="23" spans="1:5" x14ac:dyDescent="0.3">
      <c r="A23" s="2">
        <f>A18*A10*2*'input parameters'!A6</f>
        <v>1351.207273345133</v>
      </c>
      <c r="B23" t="s">
        <v>161</v>
      </c>
      <c r="C23" t="s">
        <v>189</v>
      </c>
      <c r="D23" t="s">
        <v>195</v>
      </c>
    </row>
    <row r="24" spans="1:5" x14ac:dyDescent="0.3">
      <c r="A24">
        <f>'Dead Load'!A26</f>
        <v>26.925000000000001</v>
      </c>
      <c r="B24" t="s">
        <v>7</v>
      </c>
      <c r="C24" t="s">
        <v>239</v>
      </c>
      <c r="D24" t="s">
        <v>230</v>
      </c>
    </row>
    <row r="25" spans="1:5" ht="28.8" x14ac:dyDescent="0.3">
      <c r="A25" s="2">
        <f>'Dead Load'!A32</f>
        <v>16</v>
      </c>
      <c r="B25" t="s">
        <v>7</v>
      </c>
      <c r="C25" t="s">
        <v>275</v>
      </c>
      <c r="D25" s="4" t="s">
        <v>276</v>
      </c>
    </row>
    <row r="26" spans="1:5" x14ac:dyDescent="0.3">
      <c r="A26" s="2">
        <f>-A27</f>
        <v>-1136.9142448380533</v>
      </c>
      <c r="B26" t="s">
        <v>161</v>
      </c>
      <c r="C26" t="s">
        <v>287</v>
      </c>
      <c r="D26" t="s">
        <v>280</v>
      </c>
    </row>
    <row r="27" spans="1:5" x14ac:dyDescent="0.3">
      <c r="A27" s="2">
        <f>A23*A24/(2*A25)</f>
        <v>1136.9142448380533</v>
      </c>
      <c r="B27" t="s">
        <v>161</v>
      </c>
      <c r="C27" t="s">
        <v>288</v>
      </c>
      <c r="D27" t="s">
        <v>280</v>
      </c>
    </row>
    <row r="29" spans="1:5" x14ac:dyDescent="0.3">
      <c r="A29" s="25" t="s">
        <v>304</v>
      </c>
    </row>
    <row r="30" spans="1:5" x14ac:dyDescent="0.3">
      <c r="A30" s="2">
        <f>A19*A10*2*'input parameters'!A6</f>
        <v>817.63394665486726</v>
      </c>
      <c r="B30" t="s">
        <v>161</v>
      </c>
      <c r="C30" t="s">
        <v>191</v>
      </c>
      <c r="D30" t="s">
        <v>196</v>
      </c>
    </row>
    <row r="31" spans="1:5" x14ac:dyDescent="0.3">
      <c r="A31" s="55">
        <f>3*12+6-15.4</f>
        <v>26.6</v>
      </c>
      <c r="B31" t="s">
        <v>7</v>
      </c>
      <c r="C31" t="s">
        <v>239</v>
      </c>
      <c r="D31" t="s">
        <v>312</v>
      </c>
    </row>
    <row r="32" spans="1:5" ht="28.8" x14ac:dyDescent="0.3">
      <c r="A32" s="2">
        <f>(3*12+2)/2</f>
        <v>19</v>
      </c>
      <c r="B32" t="s">
        <v>7</v>
      </c>
      <c r="C32" t="s">
        <v>275</v>
      </c>
      <c r="D32" s="4" t="s">
        <v>313</v>
      </c>
      <c r="E32" t="s">
        <v>316</v>
      </c>
    </row>
    <row r="33" spans="1:3" x14ac:dyDescent="0.3">
      <c r="A33" s="2">
        <f>A30*A31/(2*A32)</f>
        <v>572.34376265840706</v>
      </c>
      <c r="B33" t="s">
        <v>161</v>
      </c>
      <c r="C33" t="s">
        <v>310</v>
      </c>
    </row>
    <row r="34" spans="1:3" x14ac:dyDescent="0.3">
      <c r="A34" s="2">
        <f>-A33</f>
        <v>-572.34376265840706</v>
      </c>
      <c r="B34" t="s">
        <v>161</v>
      </c>
      <c r="C34" t="s">
        <v>315</v>
      </c>
    </row>
    <row r="35" spans="1:3" x14ac:dyDescent="0.3">
      <c r="A35" s="2">
        <f>A33</f>
        <v>572.34376265840706</v>
      </c>
      <c r="B35" t="s">
        <v>161</v>
      </c>
      <c r="C35" t="s">
        <v>311</v>
      </c>
    </row>
    <row r="36" spans="1:3" x14ac:dyDescent="0.3">
      <c r="A36" s="2">
        <f>-A33</f>
        <v>-572.34376265840706</v>
      </c>
      <c r="B36" t="s">
        <v>161</v>
      </c>
      <c r="C36" t="s">
        <v>314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4" sqref="A14"/>
    </sheetView>
  </sheetViews>
  <sheetFormatPr defaultRowHeight="14.4" x14ac:dyDescent="0.3"/>
  <cols>
    <col min="3" max="3" width="19.88671875" customWidth="1"/>
    <col min="4" max="4" width="42.21875" customWidth="1"/>
    <col min="5" max="5" width="71.44140625" customWidth="1"/>
  </cols>
  <sheetData>
    <row r="1" spans="1:5" ht="15.6" x14ac:dyDescent="0.3">
      <c r="A1" s="26" t="s">
        <v>286</v>
      </c>
    </row>
    <row r="3" spans="1:5" x14ac:dyDescent="0.3">
      <c r="A3" t="s">
        <v>3</v>
      </c>
      <c r="B3" t="s">
        <v>4</v>
      </c>
      <c r="C3" t="s">
        <v>5</v>
      </c>
      <c r="D3" t="s">
        <v>6</v>
      </c>
      <c r="E3" t="s">
        <v>13</v>
      </c>
    </row>
    <row r="4" spans="1:5" x14ac:dyDescent="0.3">
      <c r="A4">
        <v>0.55600000000000005</v>
      </c>
      <c r="B4" t="s">
        <v>7</v>
      </c>
      <c r="C4" t="s">
        <v>293</v>
      </c>
      <c r="D4" t="s">
        <v>290</v>
      </c>
      <c r="E4" t="s">
        <v>298</v>
      </c>
    </row>
    <row r="6" spans="1:5" x14ac:dyDescent="0.3">
      <c r="A6" s="25" t="s">
        <v>307</v>
      </c>
    </row>
    <row r="7" spans="1:5" x14ac:dyDescent="0.3">
      <c r="A7">
        <f>2*0.67*1000</f>
        <v>1340</v>
      </c>
      <c r="B7" t="s">
        <v>161</v>
      </c>
      <c r="C7" t="s">
        <v>289</v>
      </c>
      <c r="D7" t="s">
        <v>291</v>
      </c>
      <c r="E7" t="s">
        <v>292</v>
      </c>
    </row>
    <row r="8" spans="1:5" x14ac:dyDescent="0.3">
      <c r="A8">
        <f>-A7/2</f>
        <v>-670</v>
      </c>
      <c r="B8" t="s">
        <v>161</v>
      </c>
      <c r="C8" t="s">
        <v>294</v>
      </c>
      <c r="D8" s="30" t="s">
        <v>296</v>
      </c>
    </row>
    <row r="9" spans="1:5" x14ac:dyDescent="0.3">
      <c r="A9">
        <f>A7/2</f>
        <v>670</v>
      </c>
      <c r="B9" t="s">
        <v>161</v>
      </c>
      <c r="C9" t="s">
        <v>295</v>
      </c>
      <c r="D9" s="30"/>
    </row>
    <row r="11" spans="1:5" x14ac:dyDescent="0.3">
      <c r="A11" s="25" t="s">
        <v>308</v>
      </c>
    </row>
    <row r="12" spans="1:5" x14ac:dyDescent="0.3">
      <c r="A12">
        <f>(0.67+0.03)*1000</f>
        <v>700.00000000000011</v>
      </c>
      <c r="B12" t="s">
        <v>161</v>
      </c>
      <c r="C12" t="s">
        <v>289</v>
      </c>
      <c r="D12" t="s">
        <v>291</v>
      </c>
      <c r="E12" t="s">
        <v>292</v>
      </c>
    </row>
    <row r="13" spans="1:5" x14ac:dyDescent="0.3">
      <c r="A13">
        <f>A12/2</f>
        <v>350.00000000000006</v>
      </c>
      <c r="B13" t="s">
        <v>161</v>
      </c>
      <c r="C13" t="s">
        <v>319</v>
      </c>
    </row>
    <row r="14" spans="1:5" x14ac:dyDescent="0.3">
      <c r="A14">
        <f>-A12/2</f>
        <v>-350.00000000000006</v>
      </c>
      <c r="B14" t="s">
        <v>161</v>
      </c>
      <c r="C14" t="s">
        <v>320</v>
      </c>
    </row>
    <row r="15" spans="1:5" x14ac:dyDescent="0.3">
      <c r="A15">
        <f>A12/2</f>
        <v>350.00000000000006</v>
      </c>
      <c r="B15" t="s">
        <v>161</v>
      </c>
      <c r="C15" t="s">
        <v>321</v>
      </c>
    </row>
    <row r="16" spans="1:5" x14ac:dyDescent="0.3">
      <c r="A16">
        <f>-A12/2</f>
        <v>-350.00000000000006</v>
      </c>
      <c r="B16" t="s">
        <v>161</v>
      </c>
      <c r="C16" t="s">
        <v>322</v>
      </c>
    </row>
  </sheetData>
  <mergeCells count="1">
    <mergeCell ref="D8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Termination Loads</vt:lpstr>
      <vt:lpstr>Fixed Support Loads</vt:lpstr>
      <vt:lpstr>Guided Support Loads</vt:lpstr>
      <vt:lpstr>input parameters</vt:lpstr>
      <vt:lpstr>Vacuum</vt:lpstr>
      <vt:lpstr>Thermal</vt:lpstr>
      <vt:lpstr>Dead Load</vt:lpstr>
      <vt:lpstr>Seismic</vt:lpstr>
      <vt:lpstr>Settlement</vt:lpstr>
      <vt:lpstr>Horiz Align</vt:lpstr>
      <vt:lpstr>e</vt:lpstr>
      <vt:lpstr>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coyne</dc:creator>
  <cp:lastModifiedBy>coyne</cp:lastModifiedBy>
  <dcterms:created xsi:type="dcterms:W3CDTF">2019-09-16T00:35:10Z</dcterms:created>
  <dcterms:modified xsi:type="dcterms:W3CDTF">2019-09-20T19:44:34Z</dcterms:modified>
</cp:coreProperties>
</file>