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23655" windowHeight="117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3" i="1"/>
  <c r="Q33"/>
  <c r="L33"/>
  <c r="K33"/>
  <c r="J33"/>
  <c r="B33"/>
  <c r="C33" s="1"/>
  <c r="B29"/>
  <c r="F19"/>
  <c r="Q19" s="1"/>
  <c r="Q23"/>
  <c r="L29"/>
  <c r="J29"/>
  <c r="C29"/>
  <c r="C28"/>
  <c r="E29"/>
  <c r="Q29" s="1"/>
  <c r="B23"/>
  <c r="C23" s="1"/>
  <c r="L23"/>
  <c r="K23"/>
  <c r="J23"/>
  <c r="H14"/>
  <c r="I14"/>
  <c r="B16"/>
  <c r="C16"/>
  <c r="J16"/>
  <c r="K16"/>
  <c r="L16"/>
  <c r="Q16"/>
  <c r="B19"/>
  <c r="C19" s="1"/>
  <c r="J19"/>
  <c r="K19"/>
  <c r="H21"/>
  <c r="I21"/>
  <c r="B25"/>
  <c r="C25"/>
  <c r="E25"/>
  <c r="K25" s="1"/>
  <c r="J25"/>
  <c r="L25"/>
  <c r="O25" l="1"/>
  <c r="M25"/>
  <c r="M33"/>
  <c r="P33" s="1"/>
  <c r="K29"/>
  <c r="M29" s="1"/>
  <c r="P29" s="1"/>
  <c r="Q25"/>
  <c r="M16"/>
  <c r="O16" s="1"/>
  <c r="M23"/>
  <c r="O23" s="1"/>
  <c r="L19"/>
  <c r="M19" s="1"/>
  <c r="O19" s="1"/>
  <c r="P23"/>
  <c r="P16"/>
  <c r="N16"/>
  <c r="S16" l="1"/>
  <c r="T16" s="1"/>
  <c r="R16"/>
  <c r="P25"/>
  <c r="N25"/>
  <c r="N23"/>
  <c r="N33"/>
  <c r="R33" s="1"/>
  <c r="O33"/>
  <c r="N29"/>
  <c r="O29"/>
  <c r="N19"/>
  <c r="P19"/>
  <c r="T33" l="1"/>
  <c r="S23"/>
  <c r="T23" s="1"/>
  <c r="R23"/>
  <c r="S19"/>
  <c r="T19" s="1"/>
  <c r="R19"/>
  <c r="S25"/>
  <c r="T25" s="1"/>
  <c r="R25"/>
  <c r="S29"/>
  <c r="T29" s="1"/>
  <c r="R29"/>
</calcChain>
</file>

<file path=xl/sharedStrings.xml><?xml version="1.0" encoding="utf-8"?>
<sst xmlns="http://schemas.openxmlformats.org/spreadsheetml/2006/main" count="46" uniqueCount="45">
  <si>
    <t>Detector Viewer Summary</t>
  </si>
  <si>
    <t>Title: D0901920-v4, Advanced LIGO, H1 Layout</t>
  </si>
  <si>
    <t>Date : SAT FEB 5 2011</t>
  </si>
  <si>
    <t>Incoherent Data</t>
  </si>
  <si>
    <t>Power</t>
  </si>
  <si>
    <t>x</t>
  </si>
  <si>
    <t>y</t>
  </si>
  <si>
    <t>z</t>
  </si>
  <si>
    <t>ZEMAX coordinate</t>
  </si>
  <si>
    <t>fractional scatter</t>
  </si>
  <si>
    <t>scattering length</t>
  </si>
  <si>
    <t>incident angle, rad</t>
  </si>
  <si>
    <t>.</t>
  </si>
  <si>
    <t>Annular Volume 387: Offset Spool D961162 HAM3 flange</t>
  </si>
  <si>
    <t>Annular Volume 390: Offset Spool D961162 HAM4 flange</t>
  </si>
  <si>
    <t xml:space="preserve">    subtotal Object 203</t>
  </si>
  <si>
    <t xml:space="preserve">    subtotal Object 387</t>
  </si>
  <si>
    <t>cosrx</t>
  </si>
  <si>
    <t>cosry</t>
  </si>
  <si>
    <t>cosrz</t>
  </si>
  <si>
    <t>Rx</t>
  </si>
  <si>
    <t>Ry</t>
  </si>
  <si>
    <t>Rz</t>
  </si>
  <si>
    <t>ray vector components</t>
  </si>
  <si>
    <t>surface normal</t>
  </si>
  <si>
    <t>nx</t>
  </si>
  <si>
    <t>ny</t>
  </si>
  <si>
    <t>nz</t>
  </si>
  <si>
    <t>unit ray vector</t>
  </si>
  <si>
    <t>ray vector magnitude</t>
  </si>
  <si>
    <t>incident angle on scatter surface, deg</t>
  </si>
  <si>
    <t>File : H:\ADLIGO\IFO\full_ifo_layout\D0902216 L1 Zemax layout.zmx</t>
  </si>
  <si>
    <t>Polygon Object 203: HAM_3D_optics_table.POB HAM3</t>
  </si>
  <si>
    <t xml:space="preserve">    subtotal Object 239</t>
  </si>
  <si>
    <t>Polygon Object 239: HAM_3D_optics_table.POB HAM4</t>
  </si>
  <si>
    <t>BS HR surface scatter</t>
  </si>
  <si>
    <t>BS AR surface scatter</t>
  </si>
  <si>
    <t>ITM HR surface scatter</t>
  </si>
  <si>
    <t>transmissivity of ITM</t>
  </si>
  <si>
    <t xml:space="preserve">    Net power hitting Object 390</t>
  </si>
  <si>
    <t>incident angle on BS/ITM, deg</t>
  </si>
  <si>
    <t>Surface</t>
  </si>
  <si>
    <t>GV2-48inch ITMX</t>
  </si>
  <si>
    <t>ITMx HR surface scatter</t>
  </si>
  <si>
    <t>T1300401 Wide Angle Scatter BS L1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</si>
</sst>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1" fontId="0" fillId="0" borderId="1" xfId="0" applyNumberFormat="1" applyBorder="1"/>
    <xf numFmtId="11" fontId="0" fillId="0" borderId="1" xfId="0" applyNumberFormat="1" applyFill="1" applyBorder="1"/>
    <xf numFmtId="1" fontId="0" fillId="0" borderId="1" xfId="0" applyNumberFormat="1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0" fillId="0" borderId="1" xfId="0" applyNumberFormat="1" applyBorder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wrapText="1"/>
    </xf>
    <xf numFmtId="164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/>
  </sheetViews>
  <sheetFormatPr defaultRowHeight="12.75"/>
  <cols>
    <col min="1" max="1" width="51.42578125" customWidth="1"/>
    <col min="2" max="2" width="9" bestFit="1" customWidth="1"/>
    <col min="3" max="3" width="9.5703125" bestFit="1" customWidth="1"/>
    <col min="4" max="5" width="5.5703125" bestFit="1" customWidth="1"/>
    <col min="6" max="6" width="6" bestFit="1" customWidth="1"/>
    <col min="7" max="10" width="6" customWidth="1"/>
    <col min="11" max="11" width="7.5703125" customWidth="1"/>
    <col min="12" max="12" width="8.5703125" customWidth="1"/>
    <col min="13" max="13" width="11" customWidth="1"/>
    <col min="14" max="16" width="6" customWidth="1"/>
    <col min="17" max="19" width="9.5703125" customWidth="1"/>
  </cols>
  <sheetData>
    <row r="1" spans="1:20">
      <c r="A1" s="17" t="s">
        <v>44</v>
      </c>
    </row>
    <row r="3" spans="1:20">
      <c r="A3" t="s">
        <v>0</v>
      </c>
    </row>
    <row r="5" spans="1:20">
      <c r="A5" s="15" t="s">
        <v>31</v>
      </c>
    </row>
    <row r="6" spans="1:20">
      <c r="A6" t="s">
        <v>1</v>
      </c>
    </row>
    <row r="7" spans="1:20">
      <c r="A7" t="s">
        <v>2</v>
      </c>
    </row>
    <row r="9" spans="1:20">
      <c r="A9" s="15" t="s">
        <v>38</v>
      </c>
      <c r="B9">
        <v>1.4E-2</v>
      </c>
    </row>
    <row r="11" spans="1:20">
      <c r="A11" t="s">
        <v>3</v>
      </c>
    </row>
    <row r="12" spans="1:20" ht="26.25" thickBot="1">
      <c r="A12" s="16" t="s">
        <v>41</v>
      </c>
      <c r="B12" s="6" t="s">
        <v>4</v>
      </c>
      <c r="C12" s="9" t="s">
        <v>9</v>
      </c>
      <c r="D12" s="11" t="s">
        <v>8</v>
      </c>
      <c r="E12" s="11"/>
      <c r="F12" s="11"/>
      <c r="G12" s="11" t="s">
        <v>24</v>
      </c>
      <c r="H12" s="11"/>
      <c r="I12" s="11"/>
      <c r="J12" s="12" t="s">
        <v>23</v>
      </c>
      <c r="K12" s="12"/>
      <c r="L12" s="12"/>
      <c r="M12" s="9" t="s">
        <v>29</v>
      </c>
      <c r="N12" s="11" t="s">
        <v>28</v>
      </c>
      <c r="O12" s="11"/>
      <c r="P12" s="11"/>
      <c r="Q12" s="6"/>
      <c r="R12" s="6"/>
      <c r="S12" s="6"/>
      <c r="T12" s="6"/>
    </row>
    <row r="13" spans="1:20" ht="65.25" thickTop="1" thickBot="1">
      <c r="A13" s="8" t="s">
        <v>12</v>
      </c>
      <c r="B13" s="7"/>
      <c r="C13" s="7"/>
      <c r="D13" s="8" t="s">
        <v>5</v>
      </c>
      <c r="E13" s="8" t="s">
        <v>6</v>
      </c>
      <c r="F13" s="8" t="s">
        <v>7</v>
      </c>
      <c r="G13" s="8" t="s">
        <v>25</v>
      </c>
      <c r="H13" s="8" t="s">
        <v>26</v>
      </c>
      <c r="I13" s="8" t="s">
        <v>27</v>
      </c>
      <c r="J13" s="8" t="s">
        <v>20</v>
      </c>
      <c r="K13" s="8" t="s">
        <v>21</v>
      </c>
      <c r="L13" s="8" t="s">
        <v>22</v>
      </c>
      <c r="M13" s="8"/>
      <c r="N13" s="8" t="s">
        <v>17</v>
      </c>
      <c r="O13" s="8" t="s">
        <v>18</v>
      </c>
      <c r="P13" s="8" t="s">
        <v>19</v>
      </c>
      <c r="Q13" s="9" t="s">
        <v>10</v>
      </c>
      <c r="R13" s="9" t="s">
        <v>30</v>
      </c>
      <c r="S13" s="9" t="s">
        <v>40</v>
      </c>
      <c r="T13" s="9" t="s">
        <v>11</v>
      </c>
    </row>
    <row r="14" spans="1:20" ht="13.5" thickTop="1">
      <c r="A14" s="6" t="s">
        <v>35</v>
      </c>
      <c r="B14" s="2">
        <v>100</v>
      </c>
      <c r="C14" s="5"/>
      <c r="D14" s="1">
        <v>82.9</v>
      </c>
      <c r="E14" s="5">
        <v>-184.6</v>
      </c>
      <c r="F14" s="5">
        <v>-202.6</v>
      </c>
      <c r="G14" s="5">
        <v>0</v>
      </c>
      <c r="H14" s="5">
        <f>1/(2)^0.5</f>
        <v>0.70710678118654746</v>
      </c>
      <c r="I14" s="5">
        <f>1/(2)^0.5</f>
        <v>0.70710678118654746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1" t="s">
        <v>32</v>
      </c>
      <c r="B15" s="3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/>
      <c r="R15" s="4"/>
      <c r="S15" s="4"/>
      <c r="T15" s="10"/>
    </row>
    <row r="16" spans="1:20">
      <c r="A16" s="1" t="s">
        <v>15</v>
      </c>
      <c r="B16" s="3">
        <f>(1+0.67+1.67+0.67+1.3+1+0.33+0.33+0.33+1)/10</f>
        <v>0.83000000000000007</v>
      </c>
      <c r="C16" s="2">
        <f>B16/$B$14</f>
        <v>8.3000000000000001E-3</v>
      </c>
      <c r="D16" s="1">
        <v>650</v>
      </c>
      <c r="E16" s="5">
        <v>-184.6</v>
      </c>
      <c r="F16" s="1">
        <v>-2875</v>
      </c>
      <c r="G16" s="1">
        <v>0</v>
      </c>
      <c r="H16" s="1">
        <v>0</v>
      </c>
      <c r="I16" s="1">
        <v>1</v>
      </c>
      <c r="J16" s="1">
        <f>D16-D$14</f>
        <v>567.1</v>
      </c>
      <c r="K16" s="1">
        <f>E16-E$14</f>
        <v>0</v>
      </c>
      <c r="L16" s="1">
        <f>F16-F$14</f>
        <v>-2672.4</v>
      </c>
      <c r="M16" s="13">
        <f>(J16^2+K16^2+L16^2)^0.5</f>
        <v>2731.908521528494</v>
      </c>
      <c r="N16" s="1">
        <f>J16/$M16</f>
        <v>0.20758381751476415</v>
      </c>
      <c r="O16" s="1">
        <f>K16/$M16</f>
        <v>0</v>
      </c>
      <c r="P16" s="1">
        <f>L16/M16</f>
        <v>-0.97821723492586088</v>
      </c>
      <c r="Q16" s="4">
        <f>((D16-$D$14)^2+(E16-$E$14)^2+(F16-$F$14)^2)^0.5</f>
        <v>2731.908521528494</v>
      </c>
      <c r="R16" s="4">
        <f>ACOS(ABS(G16*N16+H16*O16+I16*P16))*180/PI()</f>
        <v>11.980795242320541</v>
      </c>
      <c r="S16" s="4">
        <f>ACOS(ABS(G$14*N16+H$14*O16+I$14*P16))*180/PI()</f>
        <v>46.234849754354393</v>
      </c>
      <c r="T16" s="10">
        <f>S16*PI()/180</f>
        <v>0.80695035737837562</v>
      </c>
    </row>
    <row r="17" spans="1:20">
      <c r="A17" s="1"/>
      <c r="B17" s="3"/>
      <c r="C17" s="2"/>
      <c r="D17" s="1"/>
      <c r="E17" s="1"/>
      <c r="F17" s="1"/>
      <c r="G17" s="1"/>
      <c r="H17" s="1"/>
      <c r="I17" s="1"/>
      <c r="J17" s="1"/>
      <c r="K17" s="1"/>
      <c r="L17" s="1"/>
      <c r="M17" s="13"/>
      <c r="N17" s="1"/>
      <c r="O17" s="1"/>
      <c r="P17" s="1"/>
      <c r="Q17" s="4"/>
      <c r="R17" s="4"/>
      <c r="S17" s="4"/>
      <c r="T17" s="10"/>
    </row>
    <row r="18" spans="1:20">
      <c r="A18" s="1" t="s">
        <v>13</v>
      </c>
      <c r="B18" s="3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4"/>
      <c r="S18" s="4"/>
      <c r="T18" s="10"/>
    </row>
    <row r="19" spans="1:20">
      <c r="A19" s="1" t="s">
        <v>16</v>
      </c>
      <c r="B19" s="3">
        <f>(0.33+0.68+2+0.33+0.67+1+2+0+1.67+1.67)/10</f>
        <v>1.0349999999999999</v>
      </c>
      <c r="C19" s="2">
        <f>B19/$B$14</f>
        <v>1.035E-2</v>
      </c>
      <c r="D19" s="1">
        <v>-712</v>
      </c>
      <c r="E19" s="5">
        <v>-184.6</v>
      </c>
      <c r="F19" s="5">
        <f>-1856.9+25.4</f>
        <v>-1831.5</v>
      </c>
      <c r="G19" s="1">
        <v>0</v>
      </c>
      <c r="H19" s="1">
        <v>0</v>
      </c>
      <c r="I19" s="1">
        <v>1</v>
      </c>
      <c r="J19" s="1">
        <f>D19-D$14</f>
        <v>-794.9</v>
      </c>
      <c r="K19" s="1">
        <f>E19-E$14</f>
        <v>0</v>
      </c>
      <c r="L19" s="1">
        <f>F19-F$14</f>
        <v>-1628.9</v>
      </c>
      <c r="M19" s="13">
        <f>(J19^2+K19^2+L19^2)^0.5</f>
        <v>1812.5068882627731</v>
      </c>
      <c r="N19" s="1">
        <f>J19/$M19</f>
        <v>-0.43856385051418195</v>
      </c>
      <c r="O19" s="1">
        <f>K19/$M19</f>
        <v>0</v>
      </c>
      <c r="P19" s="1">
        <f>L19/M19</f>
        <v>-0.89870003283752808</v>
      </c>
      <c r="Q19" s="4">
        <f>((D19-$D$14)^2+(E19-$E$14)^2+(F19-$F$14)^2)^0.5</f>
        <v>1812.5068882627731</v>
      </c>
      <c r="R19" s="4">
        <f>ACOS(ABS(G19*N19+H19*O19+I19*P19))*180/PI()</f>
        <v>26.012285003028154</v>
      </c>
      <c r="S19" s="4">
        <f>ACOS(ABS(G$14*N19+H$14*O19+I$14*P19))*180/PI()</f>
        <v>50.54463670081573</v>
      </c>
      <c r="T19" s="10">
        <f>S19*PI()/180</f>
        <v>0.88217032965359843</v>
      </c>
    </row>
    <row r="20" spans="1:20">
      <c r="A20" s="1"/>
      <c r="B20" s="3"/>
      <c r="C20" s="2"/>
      <c r="D20" s="1"/>
      <c r="E20" s="1"/>
      <c r="F20" s="5"/>
      <c r="G20" s="1"/>
      <c r="H20" s="1"/>
      <c r="I20" s="1"/>
      <c r="J20" s="1"/>
      <c r="K20" s="1"/>
      <c r="L20" s="1"/>
      <c r="M20" s="13"/>
      <c r="N20" s="1"/>
      <c r="O20" s="1"/>
      <c r="P20" s="1"/>
      <c r="Q20" s="4"/>
      <c r="R20" s="4"/>
      <c r="S20" s="4"/>
      <c r="T20" s="10"/>
    </row>
    <row r="21" spans="1:20">
      <c r="A21" s="6" t="s">
        <v>36</v>
      </c>
      <c r="B21" s="2">
        <v>100</v>
      </c>
      <c r="C21" s="5"/>
      <c r="D21" s="1">
        <v>82.9</v>
      </c>
      <c r="E21" s="5">
        <v>-225.2</v>
      </c>
      <c r="F21" s="5">
        <v>-162.19999999999999</v>
      </c>
      <c r="G21" s="5">
        <v>0</v>
      </c>
      <c r="H21" s="5">
        <f>-1/(2)^0.5</f>
        <v>-0.70710678118654746</v>
      </c>
      <c r="I21" s="5">
        <f>1/(2)^0.5</f>
        <v>0.70710678118654746</v>
      </c>
      <c r="J21" s="1"/>
      <c r="K21" s="1"/>
      <c r="L21" s="1"/>
      <c r="M21" s="1"/>
      <c r="N21" s="1"/>
      <c r="O21" s="1"/>
      <c r="P21" s="1"/>
      <c r="Q21" s="4"/>
      <c r="R21" s="4"/>
      <c r="S21" s="4"/>
      <c r="T21" s="10"/>
    </row>
    <row r="22" spans="1:20">
      <c r="A22" s="1" t="s">
        <v>34</v>
      </c>
      <c r="B22" s="3"/>
      <c r="C22" s="2"/>
      <c r="D22" s="1"/>
      <c r="E22" s="1"/>
      <c r="F22" s="1"/>
      <c r="G22" s="5"/>
      <c r="H22" s="5"/>
      <c r="I22" s="5"/>
      <c r="J22" s="1"/>
      <c r="K22" s="1"/>
      <c r="L22" s="1"/>
      <c r="M22" s="1"/>
      <c r="N22" s="1"/>
      <c r="O22" s="1"/>
      <c r="P22" s="1"/>
      <c r="Q22" s="4"/>
      <c r="R22" s="4"/>
      <c r="S22" s="4"/>
      <c r="T22" s="10"/>
    </row>
    <row r="23" spans="1:20">
      <c r="A23" s="1" t="s">
        <v>33</v>
      </c>
      <c r="B23" s="3">
        <f>(0.39+0.78+0.78+0.39+0.39+0.39+1.17+1.17+0.39+0.78)/10</f>
        <v>0.66300000000000003</v>
      </c>
      <c r="C23" s="2">
        <f>B23/$B$14</f>
        <v>6.6300000000000005E-3</v>
      </c>
      <c r="D23" s="1">
        <v>650</v>
      </c>
      <c r="E23" s="1">
        <v>-2875</v>
      </c>
      <c r="F23" s="5">
        <v>-162.19999999999999</v>
      </c>
      <c r="G23" s="1">
        <v>0</v>
      </c>
      <c r="H23" s="1">
        <v>1</v>
      </c>
      <c r="I23" s="1">
        <v>0</v>
      </c>
      <c r="J23" s="1">
        <f>D23-D$21</f>
        <v>567.1</v>
      </c>
      <c r="K23" s="1">
        <f>E23-E$21</f>
        <v>-2649.8</v>
      </c>
      <c r="L23" s="1">
        <f>F23-F$21</f>
        <v>0</v>
      </c>
      <c r="M23" s="13">
        <f>(J23^2+K23^2+L23^2)^0.5</f>
        <v>2709.8048730489804</v>
      </c>
      <c r="N23" s="1">
        <f>J23/$M23</f>
        <v>0.20927706110511138</v>
      </c>
      <c r="O23" s="1">
        <f>K23/$M23</f>
        <v>-0.97785638602772718</v>
      </c>
      <c r="P23" s="1">
        <f>L23/M23</f>
        <v>0</v>
      </c>
      <c r="Q23" s="4">
        <f>((D23-$D$21)^2+(E23-$E$21)^2+(F23-$F$21)^2)^0.5</f>
        <v>2709.8048730489804</v>
      </c>
      <c r="R23" s="4">
        <f>ACOS(ABS(G23*N23+H23*O23+I23*P23))*180/PI()</f>
        <v>12.07998955294692</v>
      </c>
      <c r="S23" s="4">
        <f>ACOS(ABS(G$21*N23-H$21*O23-I$21*P23))*180/PI()-90</f>
        <v>-43.744910108456047</v>
      </c>
      <c r="T23" s="10">
        <f>S23*PI()/180</f>
        <v>-0.76349271238150784</v>
      </c>
    </row>
    <row r="24" spans="1:20">
      <c r="A24" s="1"/>
      <c r="B24" s="3"/>
      <c r="C24" s="2"/>
      <c r="D24" s="1"/>
      <c r="E24" s="5"/>
      <c r="F24" s="5"/>
      <c r="G24" s="1"/>
      <c r="H24" s="1"/>
      <c r="I24" s="1"/>
      <c r="J24" s="1"/>
      <c r="K24" s="1"/>
      <c r="L24" s="1"/>
      <c r="M24" s="13"/>
      <c r="N24" s="1"/>
      <c r="O24" s="1"/>
      <c r="P24" s="1"/>
      <c r="Q24" s="4"/>
      <c r="R24" s="4"/>
      <c r="S24" s="4"/>
      <c r="T24" s="10"/>
    </row>
    <row r="25" spans="1:20">
      <c r="A25" s="1" t="s">
        <v>14</v>
      </c>
      <c r="B25" s="3">
        <f>(0.78+1.56+0.39+0.78+0.78+1.6+0.39+1.17+0.78+0.39)/10</f>
        <v>0.8620000000000001</v>
      </c>
      <c r="C25" s="2">
        <f>B25/$B$14</f>
        <v>8.6200000000000009E-3</v>
      </c>
      <c r="D25" s="1">
        <v>-712</v>
      </c>
      <c r="E25" s="5">
        <f>-1856.9+25.4</f>
        <v>-1831.5</v>
      </c>
      <c r="F25" s="5">
        <v>-162.19999999999999</v>
      </c>
      <c r="G25" s="1">
        <v>0</v>
      </c>
      <c r="H25" s="1">
        <v>1</v>
      </c>
      <c r="I25" s="1">
        <v>0</v>
      </c>
      <c r="J25" s="1">
        <f>D25-D$21</f>
        <v>-794.9</v>
      </c>
      <c r="K25" s="1">
        <f>E25-E$21</f>
        <v>-1606.3</v>
      </c>
      <c r="L25" s="1">
        <f>F25-F$21</f>
        <v>0</v>
      </c>
      <c r="M25" s="13">
        <f>(J25^2+K25^2+L25^2)^0.5</f>
        <v>1792.2236746567098</v>
      </c>
      <c r="N25" s="1">
        <f>J25/$M25</f>
        <v>-0.44352722890587781</v>
      </c>
      <c r="O25" s="1">
        <f>K25/$M25</f>
        <v>-0.89626089796390929</v>
      </c>
      <c r="P25" s="1">
        <f>L25/M25</f>
        <v>0</v>
      </c>
      <c r="Q25" s="4">
        <f>((D25-$D$21)^2+(E25-$E$21)^2+(F25-$F$21)^2)^0.5</f>
        <v>1792.2236746567098</v>
      </c>
      <c r="R25" s="4">
        <f>ACOS(ABS(G25*N25+H25*O25+I25*P25))*180/PI()</f>
        <v>26.329149737279533</v>
      </c>
      <c r="S25" s="4">
        <f>ACOS(ABS(G$21*N25-H$21*O25-I$21*P25))*180/PI()-90</f>
        <v>-39.327495731117494</v>
      </c>
      <c r="T25" s="10">
        <f>S25*PI()/180</f>
        <v>-0.68639428707201489</v>
      </c>
    </row>
    <row r="26" spans="1:20">
      <c r="A26" s="1"/>
      <c r="B26" s="3"/>
      <c r="C26" s="2"/>
      <c r="D26" s="1"/>
      <c r="E26" s="5"/>
      <c r="F26" s="5"/>
      <c r="G26" s="1"/>
      <c r="H26" s="1"/>
      <c r="I26" s="1"/>
      <c r="J26" s="1"/>
      <c r="K26" s="1"/>
      <c r="L26" s="1"/>
      <c r="M26" s="13"/>
      <c r="N26" s="1"/>
      <c r="O26" s="1"/>
      <c r="P26" s="1"/>
      <c r="Q26" s="4"/>
      <c r="R26" s="4"/>
      <c r="S26" s="4"/>
      <c r="T26" s="10"/>
    </row>
    <row r="27" spans="1:20">
      <c r="A27" s="6" t="s">
        <v>37</v>
      </c>
      <c r="B27" s="2">
        <v>100</v>
      </c>
      <c r="C27" s="2"/>
      <c r="D27" s="1">
        <v>80</v>
      </c>
      <c r="E27" s="1">
        <v>4998.1000000000004</v>
      </c>
      <c r="F27" s="1">
        <v>-200</v>
      </c>
      <c r="G27" s="1">
        <v>0</v>
      </c>
      <c r="H27" s="1">
        <v>-1</v>
      </c>
      <c r="I27" s="1">
        <v>0</v>
      </c>
      <c r="J27" s="1"/>
      <c r="K27" s="1"/>
      <c r="L27" s="1"/>
      <c r="M27" s="1"/>
      <c r="N27" s="1"/>
      <c r="O27" s="1"/>
      <c r="P27" s="1"/>
      <c r="Q27" s="4"/>
      <c r="R27" s="4"/>
      <c r="S27" s="1"/>
      <c r="T27" s="10"/>
    </row>
    <row r="28" spans="1:20">
      <c r="A28" s="1" t="s">
        <v>14</v>
      </c>
      <c r="B28" s="3">
        <v>0</v>
      </c>
      <c r="C28" s="2">
        <f>B28/$B$27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4" t="s">
        <v>39</v>
      </c>
      <c r="B29" s="2">
        <f>B28*$B$9</f>
        <v>0</v>
      </c>
      <c r="C29" s="2">
        <f>B29/$B$27</f>
        <v>0</v>
      </c>
      <c r="D29" s="1">
        <v>-712</v>
      </c>
      <c r="E29" s="1">
        <f>-1856.9+25.4</f>
        <v>-1831.5</v>
      </c>
      <c r="F29" s="1">
        <v>0</v>
      </c>
      <c r="G29" s="1">
        <v>0</v>
      </c>
      <c r="H29" s="1">
        <v>1</v>
      </c>
      <c r="I29" s="1">
        <v>0</v>
      </c>
      <c r="J29" s="1">
        <f>D29-D$27</f>
        <v>-792</v>
      </c>
      <c r="K29" s="1">
        <f>E29-E$27</f>
        <v>-6829.6</v>
      </c>
      <c r="L29" s="1">
        <f>F29-F$27</f>
        <v>200</v>
      </c>
      <c r="M29" s="13">
        <f>(J29^2+K29^2+L29^2)^0.5</f>
        <v>6878.2774122595556</v>
      </c>
      <c r="N29" s="1">
        <f>J29/$M29</f>
        <v>-0.11514510865589285</v>
      </c>
      <c r="O29" s="1">
        <f>K29/$M29</f>
        <v>-0.99292302282359324</v>
      </c>
      <c r="P29" s="1">
        <f>L29/M29</f>
        <v>2.9077047640376982E-2</v>
      </c>
      <c r="Q29" s="4">
        <f>((D29-$D$27)^2+(E29-$E$27)^2+(F29-$F$27)^2)^0.5</f>
        <v>6878.2774122595556</v>
      </c>
      <c r="R29" s="4">
        <f>ACOS(ABS(G29*N29+H29*O29+I29*P29))*180/PI()</f>
        <v>6.8205278254058141</v>
      </c>
      <c r="S29" s="4">
        <f>ACOS(ABS(G$27*N29-H$27*O29-I$27*P29))*180/PI()</f>
        <v>6.8205278254058141</v>
      </c>
      <c r="T29" s="10">
        <f>S29*PI()/180</f>
        <v>0.1190406672772204</v>
      </c>
    </row>
    <row r="32" spans="1:20">
      <c r="A32" s="6" t="s">
        <v>43</v>
      </c>
      <c r="B32" s="2">
        <v>100</v>
      </c>
      <c r="C32" s="2"/>
      <c r="D32" s="1">
        <v>80</v>
      </c>
      <c r="E32" s="1">
        <v>-200</v>
      </c>
      <c r="F32" s="1">
        <v>4998.1000000000004</v>
      </c>
      <c r="G32" s="1">
        <v>0</v>
      </c>
      <c r="H32" s="1">
        <v>-1</v>
      </c>
      <c r="I32" s="1">
        <v>0</v>
      </c>
      <c r="J32" s="1"/>
      <c r="K32" s="1"/>
      <c r="L32" s="1"/>
      <c r="M32" s="1"/>
      <c r="N32" s="1"/>
      <c r="O32" s="1"/>
      <c r="P32" s="1"/>
      <c r="Q32" s="4"/>
      <c r="R32" s="4"/>
      <c r="S32" s="1"/>
      <c r="T32" s="10"/>
    </row>
    <row r="33" spans="1:20">
      <c r="A33" s="14" t="s">
        <v>42</v>
      </c>
      <c r="B33" s="3">
        <f>(2+5+3+4+4+2+7+3+3+6)*0.11111/10</f>
        <v>0.43332899999999996</v>
      </c>
      <c r="C33" s="2">
        <f>B33/$B$27</f>
        <v>4.3332900000000001E-3</v>
      </c>
      <c r="D33" s="1">
        <v>-620</v>
      </c>
      <c r="E33" s="1">
        <v>0</v>
      </c>
      <c r="F33" s="1">
        <v>7157</v>
      </c>
      <c r="G33" s="1">
        <v>1</v>
      </c>
      <c r="H33" s="1">
        <v>0</v>
      </c>
      <c r="I33" s="1">
        <v>0</v>
      </c>
      <c r="J33" s="1">
        <f>D33-D$32</f>
        <v>-700</v>
      </c>
      <c r="K33" s="1">
        <f>E33-E$32</f>
        <v>200</v>
      </c>
      <c r="L33" s="1">
        <f>F33-F$32</f>
        <v>2158.8999999999996</v>
      </c>
      <c r="M33" s="13">
        <f>(J33^2+K33^2+L33^2)^0.5</f>
        <v>2278.3435232642155</v>
      </c>
      <c r="N33" s="1">
        <f>J33/$M33</f>
        <v>-0.30724076191859773</v>
      </c>
      <c r="O33" s="1">
        <f>K33/$M33</f>
        <v>8.7783074833885075E-2</v>
      </c>
      <c r="P33" s="1">
        <f>L33/M33</f>
        <v>0.9475744012943722</v>
      </c>
      <c r="Q33" s="4">
        <f>((D33-$D$32)^2+(E33-$E$32)^2+(F33-$F$32)^2)^0.5</f>
        <v>2278.3435232642155</v>
      </c>
      <c r="R33" s="4">
        <f>ACOS(ABS(G33*N33+H33*O33+I33*P33))*180/PI()</f>
        <v>72.106975579619188</v>
      </c>
      <c r="S33" s="4">
        <f>ACOS(ABS(G$32*N33-H$32*O33-I$32*P33))*180/PI()</f>
        <v>84.963918224489618</v>
      </c>
      <c r="T33" s="10">
        <f>S33*PI()/180</f>
        <v>1.4829001184125585</v>
      </c>
    </row>
  </sheetData>
  <phoneticPr fontId="1" type="noConversion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Caltech</dc:creator>
  <cp:lastModifiedBy>smith</cp:lastModifiedBy>
  <cp:lastPrinted>2011-02-08T23:12:15Z</cp:lastPrinted>
  <dcterms:created xsi:type="dcterms:W3CDTF">2011-02-05T22:07:54Z</dcterms:created>
  <dcterms:modified xsi:type="dcterms:W3CDTF">2013-04-24T00:34:55Z</dcterms:modified>
</cp:coreProperties>
</file>