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96" windowWidth="5700" windowHeight="5448"/>
  </bookViews>
  <sheets>
    <sheet name="SLC - 6in no wedge #2-253" sheetId="9" r:id="rId1"/>
    <sheet name="volume considerations" sheetId="13" r:id="rId2"/>
    <sheet name="thread engagement" sheetId="14" r:id="rId3"/>
  </sheets>
  <definedNames>
    <definedName name="solver_adj" localSheetId="0" hidden="1">'SLC - 6in no wedge #2-253'!$F$47</definedName>
    <definedName name="solver_adj" localSheetId="1" hidden="1">'volume considerations'!$A$29</definedName>
    <definedName name="solver_cvg" localSheetId="0" hidden="1">0.0001</definedName>
    <definedName name="solver_cvg" localSheetId="1" hidden="1">0.0001</definedName>
    <definedName name="solver_drv" localSheetId="0" hidden="1">1</definedName>
    <definedName name="solver_drv" localSheetId="1" hidden="1">2</definedName>
    <definedName name="solver_eng" localSheetId="0" hidden="1">1</definedName>
    <definedName name="solver_eng" localSheetId="1" hidden="1">1</definedName>
    <definedName name="solver_est" localSheetId="0" hidden="1">1</definedName>
    <definedName name="solver_est" localSheetId="1" hidden="1">1</definedName>
    <definedName name="solver_itr" localSheetId="0" hidden="1">2147483647</definedName>
    <definedName name="solver_itr" localSheetId="1" hidden="1">2147483647</definedName>
    <definedName name="solver_lhs1" localSheetId="1" hidden="1">'volume considerations'!$A$29</definedName>
    <definedName name="solver_lhs2" localSheetId="1" hidden="1">'volume considerations'!$A$29</definedName>
    <definedName name="solver_mip" localSheetId="0" hidden="1">2147483647</definedName>
    <definedName name="solver_mip" localSheetId="1" hidden="1">2147483647</definedName>
    <definedName name="solver_mni" localSheetId="0" hidden="1">30</definedName>
    <definedName name="solver_mni" localSheetId="1" hidden="1">30</definedName>
    <definedName name="solver_mrt" localSheetId="0" hidden="1">0.075</definedName>
    <definedName name="solver_mrt" localSheetId="1" hidden="1">0.075</definedName>
    <definedName name="solver_msl" localSheetId="0" hidden="1">2</definedName>
    <definedName name="solver_msl" localSheetId="1" hidden="1">2</definedName>
    <definedName name="solver_neg" localSheetId="0" hidden="1">1</definedName>
    <definedName name="solver_neg" localSheetId="1" hidden="1">1</definedName>
    <definedName name="solver_nod" localSheetId="0" hidden="1">2147483647</definedName>
    <definedName name="solver_nod" localSheetId="1" hidden="1">2147483647</definedName>
    <definedName name="solver_num" localSheetId="0" hidden="1">0</definedName>
    <definedName name="solver_num" localSheetId="1" hidden="1">2</definedName>
    <definedName name="solver_nwt" localSheetId="0" hidden="1">1</definedName>
    <definedName name="solver_nwt" localSheetId="1" hidden="1">1</definedName>
    <definedName name="solver_opt" localSheetId="0" hidden="1">'SLC - 6in no wedge #2-253'!$F$53</definedName>
    <definedName name="solver_opt" localSheetId="1" hidden="1">'volume considerations'!$J$29</definedName>
    <definedName name="solver_pre" localSheetId="0" hidden="1">0.000001</definedName>
    <definedName name="solver_pre" localSheetId="1" hidden="1">0.000001</definedName>
    <definedName name="solver_rbv" localSheetId="0" hidden="1">1</definedName>
    <definedName name="solver_rbv" localSheetId="1" hidden="1">2</definedName>
    <definedName name="solver_rel1" localSheetId="1" hidden="1">1</definedName>
    <definedName name="solver_rel2" localSheetId="1" hidden="1">3</definedName>
    <definedName name="solver_rhs1" localSheetId="1" hidden="1">'volume considerations'!$A$15</definedName>
    <definedName name="solver_rhs2" localSheetId="1" hidden="1">0</definedName>
    <definedName name="solver_rlx" localSheetId="0" hidden="1">2</definedName>
    <definedName name="solver_rlx" localSheetId="1" hidden="1">2</definedName>
    <definedName name="solver_rsd" localSheetId="0" hidden="1">0</definedName>
    <definedName name="solver_rsd" localSheetId="1" hidden="1">0</definedName>
    <definedName name="solver_scl" localSheetId="0" hidden="1">1</definedName>
    <definedName name="solver_scl" localSheetId="1" hidden="1">2</definedName>
    <definedName name="solver_sho" localSheetId="0" hidden="1">2</definedName>
    <definedName name="solver_sho" localSheetId="1" hidden="1">2</definedName>
    <definedName name="solver_ssz" localSheetId="0" hidden="1">100</definedName>
    <definedName name="solver_ssz" localSheetId="1" hidden="1">100</definedName>
    <definedName name="solver_tim" localSheetId="0" hidden="1">2147483647</definedName>
    <definedName name="solver_tim" localSheetId="1" hidden="1">2147483647</definedName>
    <definedName name="solver_tol" localSheetId="0" hidden="1">0.01</definedName>
    <definedName name="solver_tol" localSheetId="1" hidden="1">0.01</definedName>
    <definedName name="solver_typ" localSheetId="0" hidden="1">3</definedName>
    <definedName name="solver_typ" localSheetId="1" hidden="1">3</definedName>
    <definedName name="solver_val" localSheetId="0" hidden="1">0</definedName>
    <definedName name="solver_val" localSheetId="1" hidden="1">0</definedName>
    <definedName name="solver_ver" localSheetId="0" hidden="1">3</definedName>
    <definedName name="solver_ver" localSheetId="1" hidden="1">3</definedName>
  </definedNames>
  <calcPr calcId="144525"/>
</workbook>
</file>

<file path=xl/calcChain.xml><?xml version="1.0" encoding="utf-8"?>
<calcChain xmlns="http://schemas.openxmlformats.org/spreadsheetml/2006/main">
  <c r="H53" i="9" l="1"/>
  <c r="I84" i="9" l="1"/>
  <c r="C84" i="9"/>
  <c r="A84" i="9"/>
  <c r="A89" i="9"/>
  <c r="A88" i="9"/>
  <c r="A87" i="9"/>
  <c r="A57" i="9" l="1"/>
  <c r="AA12" i="9"/>
  <c r="C28" i="14" l="1"/>
  <c r="C26" i="14"/>
  <c r="C25" i="14"/>
  <c r="L25" i="14"/>
  <c r="I33" i="9" l="1"/>
  <c r="I32" i="9"/>
  <c r="J53" i="9"/>
  <c r="J52" i="9"/>
  <c r="J51" i="9"/>
  <c r="I31" i="9"/>
  <c r="A60" i="9"/>
  <c r="E54" i="9" s="1"/>
  <c r="F54" i="9"/>
  <c r="D54" i="9"/>
  <c r="B54" i="9"/>
  <c r="C54" i="9"/>
  <c r="M60" i="9"/>
  <c r="O56" i="9"/>
  <c r="A54" i="9" l="1"/>
  <c r="AB10" i="9"/>
  <c r="AC10" i="9"/>
  <c r="J68" i="9"/>
  <c r="A44" i="9"/>
  <c r="A43" i="9"/>
  <c r="F49" i="9" l="1"/>
  <c r="F51" i="9" s="1"/>
  <c r="E49" i="9"/>
  <c r="E51" i="9" s="1"/>
  <c r="D49" i="9"/>
  <c r="D51" i="9" s="1"/>
  <c r="C49" i="9"/>
  <c r="C51" i="9" s="1"/>
  <c r="B49" i="9"/>
  <c r="B51" i="9" s="1"/>
  <c r="A49" i="9"/>
  <c r="A51" i="9" s="1"/>
  <c r="J66" i="9" l="1"/>
  <c r="J67" i="9" s="1"/>
  <c r="H117" i="9" l="1"/>
  <c r="H118" i="9"/>
  <c r="A120" i="9"/>
  <c r="M56" i="9"/>
  <c r="M57" i="9"/>
  <c r="L62" i="9"/>
  <c r="L60" i="9"/>
  <c r="A21" i="14" l="1"/>
  <c r="A20" i="14"/>
  <c r="A19" i="14"/>
  <c r="A18" i="14"/>
  <c r="A17" i="14"/>
  <c r="A16" i="14"/>
  <c r="A13" i="14"/>
  <c r="A12" i="14"/>
  <c r="A10" i="14"/>
  <c r="A8" i="14"/>
  <c r="A6" i="14"/>
  <c r="A40" i="13" l="1"/>
  <c r="A28" i="13"/>
  <c r="A23" i="13" l="1"/>
  <c r="A16" i="13" l="1"/>
  <c r="A15" i="13"/>
  <c r="A13" i="13"/>
  <c r="A20" i="13" s="1"/>
  <c r="A12" i="13"/>
  <c r="J29" i="13" s="1"/>
  <c r="A11" i="13"/>
  <c r="A17" i="13"/>
  <c r="A30" i="13" l="1"/>
  <c r="A25" i="13"/>
  <c r="A19" i="13"/>
  <c r="A18" i="13"/>
  <c r="J24" i="13"/>
  <c r="A37" i="13" l="1"/>
  <c r="J63" i="9"/>
  <c r="K169" i="9"/>
  <c r="A59" i="9"/>
  <c r="D42" i="9"/>
  <c r="D30" i="9"/>
  <c r="D29" i="9"/>
  <c r="K176" i="9"/>
  <c r="K175" i="9"/>
  <c r="K174" i="9"/>
  <c r="I173" i="9"/>
  <c r="I170" i="9"/>
  <c r="I171" i="9" s="1"/>
  <c r="W61" i="9"/>
  <c r="X61" i="9" s="1"/>
  <c r="W60" i="9"/>
  <c r="X60" i="9" s="1"/>
  <c r="W59" i="9"/>
  <c r="X59" i="9" s="1"/>
  <c r="I151" i="9"/>
  <c r="J151" i="9" s="1"/>
  <c r="A119" i="9"/>
  <c r="A122" i="9"/>
  <c r="A123" i="9" s="1"/>
  <c r="D123" i="9" s="1"/>
  <c r="A106" i="9"/>
  <c r="A103" i="9"/>
  <c r="A95" i="9"/>
  <c r="A93" i="9"/>
  <c r="B82" i="9"/>
  <c r="B81" i="9"/>
  <c r="B79" i="9"/>
  <c r="B78" i="9"/>
  <c r="B77" i="9"/>
  <c r="B76" i="9"/>
  <c r="A69" i="9"/>
  <c r="A70" i="9" s="1"/>
  <c r="AD45" i="9"/>
  <c r="AA45" i="9"/>
  <c r="I42" i="9"/>
  <c r="A31" i="9"/>
  <c r="D31" i="9" s="1"/>
  <c r="A23" i="9"/>
  <c r="A19" i="9"/>
  <c r="A17" i="9"/>
  <c r="A13" i="9"/>
  <c r="A11" i="9"/>
  <c r="A118" i="9" s="1"/>
  <c r="AD10" i="9"/>
  <c r="AD12" i="9" s="1"/>
  <c r="AA10" i="9"/>
  <c r="B7" i="9"/>
  <c r="A7" i="9"/>
  <c r="D48" i="9" l="1"/>
  <c r="E48" i="9"/>
  <c r="F48" i="9"/>
  <c r="B48" i="9"/>
  <c r="A48" i="9"/>
  <c r="C48" i="9"/>
  <c r="A71" i="9"/>
  <c r="J59" i="9"/>
  <c r="J60" i="9" s="1"/>
  <c r="A22" i="9"/>
  <c r="B36" i="9"/>
  <c r="B37" i="9" s="1"/>
  <c r="A36" i="9"/>
  <c r="K150" i="9"/>
  <c r="A110" i="9"/>
  <c r="A121" i="9"/>
  <c r="A125" i="9"/>
  <c r="B62" i="9" l="1"/>
  <c r="B64" i="9" s="1"/>
  <c r="B61" i="9"/>
  <c r="B65" i="9" s="1"/>
  <c r="E61" i="9"/>
  <c r="E65" i="9" s="1"/>
  <c r="E62" i="9"/>
  <c r="E64" i="9" s="1"/>
  <c r="C62" i="9"/>
  <c r="C64" i="9" s="1"/>
  <c r="C61" i="9"/>
  <c r="C65" i="9" s="1"/>
  <c r="F62" i="9"/>
  <c r="F64" i="9" s="1"/>
  <c r="F61" i="9"/>
  <c r="F65" i="9" s="1"/>
  <c r="D61" i="9"/>
  <c r="D65" i="9" s="1"/>
  <c r="D62" i="9"/>
  <c r="D64" i="9" s="1"/>
  <c r="A50" i="9"/>
  <c r="A52" i="9" s="1"/>
  <c r="A53" i="9" s="1"/>
  <c r="A62" i="9"/>
  <c r="A64" i="9" s="1"/>
  <c r="A61" i="9"/>
  <c r="A65" i="9" s="1"/>
  <c r="F55" i="9"/>
  <c r="F50" i="9"/>
  <c r="F52" i="9" s="1"/>
  <c r="F53" i="9" s="1"/>
  <c r="E55" i="9"/>
  <c r="E50" i="9"/>
  <c r="E52" i="9" s="1"/>
  <c r="E53" i="9" s="1"/>
  <c r="B50" i="9"/>
  <c r="B52" i="9" s="1"/>
  <c r="B53" i="9" s="1"/>
  <c r="B55" i="9"/>
  <c r="D55" i="9"/>
  <c r="D50" i="9"/>
  <c r="D52" i="9" s="1"/>
  <c r="D53" i="9" s="1"/>
  <c r="A55" i="9"/>
  <c r="C50" i="9"/>
  <c r="C52" i="9" s="1"/>
  <c r="C53" i="9" s="1"/>
  <c r="C55" i="9"/>
  <c r="A37" i="9"/>
  <c r="A16" i="9"/>
  <c r="A36" i="13"/>
  <c r="A38" i="13" s="1"/>
  <c r="J64" i="9"/>
  <c r="J65" i="9" s="1"/>
  <c r="A86" i="9"/>
  <c r="C86" i="9" s="1"/>
  <c r="U63" i="9" s="1"/>
  <c r="X63" i="9" s="1"/>
  <c r="A85" i="9"/>
  <c r="C85" i="9" s="1"/>
  <c r="U62" i="9" s="1"/>
  <c r="X62" i="9" s="1"/>
  <c r="A39" i="9" l="1"/>
  <c r="A74" i="9" s="1"/>
  <c r="B80" i="9" s="1"/>
  <c r="B83" i="9" s="1"/>
  <c r="A96" i="9"/>
  <c r="A97" i="9" s="1"/>
  <c r="A40" i="9"/>
  <c r="A41" i="9"/>
  <c r="A38" i="9"/>
  <c r="A41" i="13"/>
  <c r="A42" i="13" s="1"/>
  <c r="A43" i="13" s="1"/>
  <c r="A39" i="13"/>
  <c r="A35" i="9"/>
  <c r="A34" i="9"/>
</calcChain>
</file>

<file path=xl/sharedStrings.xml><?xml version="1.0" encoding="utf-8"?>
<sst xmlns="http://schemas.openxmlformats.org/spreadsheetml/2006/main" count="376" uniqueCount="245">
  <si>
    <t>optic diameter</t>
  </si>
  <si>
    <t>value</t>
  </si>
  <si>
    <t>units</t>
  </si>
  <si>
    <t>description</t>
  </si>
  <si>
    <t>clear aperture diameter</t>
  </si>
  <si>
    <t>o-ring shore A hardness</t>
  </si>
  <si>
    <t>o-ring designation</t>
  </si>
  <si>
    <t xml:space="preserve"> --</t>
  </si>
  <si>
    <t>in</t>
  </si>
  <si>
    <t>Viewport Calculations</t>
  </si>
  <si>
    <t>compression</t>
  </si>
  <si>
    <t>See Parker catalog 5705A, Vacuum Sealing</t>
  </si>
  <si>
    <t>Fluorocarbon (FKM)</t>
  </si>
  <si>
    <t>Perfluoroelastomer (FFKM)</t>
  </si>
  <si>
    <t>compare Parker o-ring leak rate with PSI measurements</t>
  </si>
  <si>
    <t>Parker recommends Gask-O-Seals -- what is this?</t>
  </si>
  <si>
    <t>Surface finish of 16 rms common, but 32 have been successful</t>
  </si>
  <si>
    <t>Use leak rate approx. method in section on gasses</t>
  </si>
  <si>
    <t>Design chart 4-2. If difficult to assemble, use design chart 4-1 and design table 4-1</t>
  </si>
  <si>
    <t>std. cc/sec</t>
  </si>
  <si>
    <t>std. cc cm/cm^2 sec bar</t>
  </si>
  <si>
    <t>D, o-ring I.D.</t>
  </si>
  <si>
    <t>psi</t>
  </si>
  <si>
    <t>Q, factor depending on % squeeze (dry) (Fig 3-11)</t>
  </si>
  <si>
    <t>S, squeeze fraction (squeeze percent/100)</t>
  </si>
  <si>
    <t>L, permeability rate through o-ring</t>
  </si>
  <si>
    <t>L=.7*F*D*P*Q*(1-S)^2, permeability rate through o-ring</t>
  </si>
  <si>
    <t>F, permeability rate of air through elastomer (table 3-24)</t>
  </si>
  <si>
    <t>torr-liter/sec</t>
  </si>
  <si>
    <t>Vacuum seal glands, design chart 4-7</t>
  </si>
  <si>
    <t>For viewport seals, dimension I.D. and width (not O.D.)</t>
  </si>
  <si>
    <t>o-ring compression force per length</t>
  </si>
  <si>
    <t>o-ring total compression force</t>
  </si>
  <si>
    <t>pressure force on optic</t>
  </si>
  <si>
    <t>lb/in</t>
  </si>
  <si>
    <t>lb</t>
  </si>
  <si>
    <t>notes</t>
  </si>
  <si>
    <t>optic material</t>
  </si>
  <si>
    <t>optic ultimate strength</t>
  </si>
  <si>
    <t>OPTIC STRESS</t>
  </si>
  <si>
    <t>Young, Roark's Formulas for Stress &amp; Strain, 6th ed., Table 24, case 10a</t>
  </si>
  <si>
    <t>simply supported, flat circular plate of constant thickness</t>
  </si>
  <si>
    <t>a, simply supported radius</t>
  </si>
  <si>
    <t>D=E*t^3/[12*(1-nu^2), plate constant</t>
  </si>
  <si>
    <t>t, optic thickness</t>
  </si>
  <si>
    <t>E, optic elastic modulus</t>
  </si>
  <si>
    <t>nu, optic Poison's ratio</t>
  </si>
  <si>
    <t>in-lb</t>
  </si>
  <si>
    <t>P, q, pressure</t>
  </si>
  <si>
    <t>L11 (for r0 = 0), loading constant</t>
  </si>
  <si>
    <t>L17 (for r0 = 0), loading constant</t>
  </si>
  <si>
    <t>with uniformly distributed pressure (r0 = 0)</t>
  </si>
  <si>
    <t>yc = (-q a^4) (5+nu)/(64D(1+nu)), Center deflection</t>
  </si>
  <si>
    <t>in-lb/in</t>
  </si>
  <si>
    <t>Mc = q a^2 (3+nu)/16, unit bending moment at center</t>
  </si>
  <si>
    <t>Pa</t>
  </si>
  <si>
    <t>sc = 6 Mc/t^2, bending stress at plate center (outer fiber)</t>
  </si>
  <si>
    <t>Safety Margin</t>
  </si>
  <si>
    <t>FS, Factor of Safety</t>
  </si>
  <si>
    <t>fused silica</t>
  </si>
  <si>
    <t>P. Yoder, Opto-mechanical Systems Design, Table 3.5</t>
  </si>
  <si>
    <t>OPTIC</t>
  </si>
  <si>
    <t>VACUUM SEAL O-RING</t>
  </si>
  <si>
    <r>
      <rPr>
        <b/>
        <sz val="11"/>
        <color theme="1"/>
        <rFont val="Calibri"/>
        <family val="2"/>
      </rPr>
      <t>±</t>
    </r>
    <r>
      <rPr>
        <b/>
        <sz val="9.35"/>
        <color theme="1"/>
        <rFont val="Calibri"/>
        <family val="2"/>
      </rPr>
      <t xml:space="preserve"> tol</t>
    </r>
  </si>
  <si>
    <t>70 shore A</t>
  </si>
  <si>
    <t>min F (lb/in)</t>
  </si>
  <si>
    <t>80 shore A</t>
  </si>
  <si>
    <t>max F (lb/in)</t>
  </si>
  <si>
    <t>.139 Cross Section</t>
  </si>
  <si>
    <t>WINDOW CLAMP BOLT LOADS</t>
  </si>
  <si>
    <t>number of bolts</t>
  </si>
  <si>
    <t>bolt major diameter</t>
  </si>
  <si>
    <t>bolt minor diameter</t>
  </si>
  <si>
    <t>bolt type</t>
  </si>
  <si>
    <t>.210 Cross Section</t>
  </si>
  <si>
    <t>min o-ring force</t>
  </si>
  <si>
    <t>max o-ring force</t>
  </si>
  <si>
    <t>CLAMPING RING/WASHER</t>
  </si>
  <si>
    <t>material</t>
  </si>
  <si>
    <t>PEEK</t>
  </si>
  <si>
    <t>ring width</t>
  </si>
  <si>
    <t>elastic modulus</t>
  </si>
  <si>
    <t>max compression</t>
  </si>
  <si>
    <t>ring thickness</t>
  </si>
  <si>
    <t>Do, ring O.D.</t>
  </si>
  <si>
    <t>Di, ring I.D.</t>
  </si>
  <si>
    <t>ring center diameter</t>
  </si>
  <si>
    <t>o-ring center diameter</t>
  </si>
  <si>
    <t>stair-step the ring cross-section to reduce clamping moment?</t>
  </si>
  <si>
    <t>tensile stress area</t>
  </si>
  <si>
    <t>max load per bolt to compress o-ring</t>
  </si>
  <si>
    <t>max stress per bolt to compress o-ring</t>
  </si>
  <si>
    <t>in^2</t>
  </si>
  <si>
    <t>tensile strength</t>
  </si>
  <si>
    <t>Unbrako, SHCS, Stainless steel</t>
  </si>
  <si>
    <t>min tensile yield stress</t>
  </si>
  <si>
    <t>min tensile ultimate stress</t>
  </si>
  <si>
    <t>seating torque</t>
  </si>
  <si>
    <t>5/16 - 24 UNRF, silver plated</t>
  </si>
  <si>
    <t>CLAMPING TOLERANCES</t>
  </si>
  <si>
    <t>window clamp,  recess for clamp ring, depth</t>
  </si>
  <si>
    <t>flange , recess for optic, depth</t>
  </si>
  <si>
    <t>o-ring, gland, depth</t>
  </si>
  <si>
    <t>clamp ring, thickness</t>
  </si>
  <si>
    <t>optic, thickness</t>
  </si>
  <si>
    <t>clamp compression tolerance</t>
  </si>
  <si>
    <t>minimum gap</t>
  </si>
  <si>
    <t>GLAND</t>
  </si>
  <si>
    <t>gland I.D.</t>
  </si>
  <si>
    <t>gland width</t>
  </si>
  <si>
    <t>gland depth</t>
  </si>
  <si>
    <t>WINDOW CLAMP</t>
  </si>
  <si>
    <t>Dco, window clamp outer diameter</t>
  </si>
  <si>
    <t>Dci, window clamp inner diameter</t>
  </si>
  <si>
    <t>Dcr, window clamp recess diameter</t>
  </si>
  <si>
    <t>tc, window clamp thickness</t>
  </si>
  <si>
    <t>bc, window clamp recess depth</t>
  </si>
  <si>
    <t>clamp ring, max. compression</t>
  </si>
  <si>
    <t>FLANGE</t>
  </si>
  <si>
    <t>Dfo, flange outer diameter</t>
  </si>
  <si>
    <t>Dfi, flange inner diameter</t>
  </si>
  <si>
    <t>Dfr, flange recess diameter</t>
  </si>
  <si>
    <t>tf, flange thickness</t>
  </si>
  <si>
    <t>bf, flange recess depth</t>
  </si>
  <si>
    <t>nominal gap</t>
  </si>
  <si>
    <t>maximum gap</t>
  </si>
  <si>
    <t>g_allowable, allowable clearance gap</t>
  </si>
  <si>
    <t>o-ring, cross-section diameter</t>
  </si>
  <si>
    <t>Parker Handbook, Fig 3-2, 70 shore A, &lt; 100 psi</t>
  </si>
  <si>
    <t>gland OD (reference dimension)</t>
  </si>
  <si>
    <t>gland fill, min</t>
  </si>
  <si>
    <t>gland fill, max</t>
  </si>
  <si>
    <t>gland fill, ideal</t>
  </si>
  <si>
    <t>% compression, ideal</t>
  </si>
  <si>
    <t>75% ideal, 60% to 90% allowed</t>
  </si>
  <si>
    <t>nominal squeeze (compression)</t>
  </si>
  <si>
    <t>min squeeze (compression)</t>
  </si>
  <si>
    <t>max squeeze (compression)</t>
  </si>
  <si>
    <t>higher than recommended</t>
  </si>
  <si>
    <t>bevel width</t>
  </si>
  <si>
    <t>optic face diameter</t>
  </si>
  <si>
    <t>glass spec E1100267-v1</t>
  </si>
  <si>
    <t>#2-253</t>
  </si>
  <si>
    <t>tw, gland min wall thickness</t>
  </si>
  <si>
    <t>check that this is larger than clear aperture</t>
  </si>
  <si>
    <t>min</t>
  </si>
  <si>
    <t>max</t>
  </si>
  <si>
    <t>leak rate, min</t>
  </si>
  <si>
    <t>leak rate, max</t>
  </si>
  <si>
    <t>squeeze</t>
  </si>
  <si>
    <t>He Leak Rate
(cc/sec/in)</t>
  </si>
  <si>
    <t>He Leak Rate
(torr-liter/sec/in)</t>
  </si>
  <si>
    <t>Air Leak Rate
(torr-liter/sec/in)</t>
  </si>
  <si>
    <t>width</t>
  </si>
  <si>
    <t>depth</t>
  </si>
  <si>
    <t>mm</t>
  </si>
  <si>
    <t>d, o-ring cross-section diameter</t>
  </si>
  <si>
    <t>A. Roth, Vacuum Sealing Techniques, Table 3-30</t>
  </si>
  <si>
    <t>h</t>
  </si>
  <si>
    <t>L</t>
  </si>
  <si>
    <r>
      <t>glass spec E1100267-v1
(</t>
    </r>
    <r>
      <rPr>
        <sz val="11"/>
        <color rgb="FFFF0000"/>
        <rFont val="Calibri"/>
        <family val="2"/>
        <scheme val="minor"/>
      </rPr>
      <t>bevel dimension not specific! Should prefer smaller ID glands</t>
    </r>
    <r>
      <rPr>
        <sz val="11"/>
        <color theme="1"/>
        <rFont val="Calibri"/>
        <family val="2"/>
        <scheme val="minor"/>
      </rPr>
      <t>)</t>
    </r>
  </si>
  <si>
    <t>a) if the o-ring ID is less than the glad ID (e.g. due to tolerances in fabrication)</t>
  </si>
  <si>
    <t>b) as the o-ring is comressed and it stretches to a greater diameter</t>
  </si>
  <si>
    <t>So, one must consider the volume, not just the vertical squeeze and the cross-sectional area</t>
  </si>
  <si>
    <t>standard formulas and design guidance for o-ring compression (i.e. squeeze) are two-dimensional</t>
  </si>
  <si>
    <t>d</t>
  </si>
  <si>
    <t>o-ring unstretched, un-compressed inner diamter (ID)</t>
  </si>
  <si>
    <t>symbol</t>
  </si>
  <si>
    <t>Dg</t>
  </si>
  <si>
    <t>gland inner diameter</t>
  </si>
  <si>
    <t>Ao</t>
  </si>
  <si>
    <t>o-ring unstretched, un-compressed cross-sectional area</t>
  </si>
  <si>
    <t>Vo</t>
  </si>
  <si>
    <t>in^3</t>
  </si>
  <si>
    <t>mm^2</t>
  </si>
  <si>
    <t>mm^3</t>
  </si>
  <si>
    <t>nom, o-ring unstretched, un-compressed volume</t>
  </si>
  <si>
    <t>min, o-ring unstretched, un-compressed volume</t>
  </si>
  <si>
    <t>max, o-ring unstretched, un-compressed volume</t>
  </si>
  <si>
    <t>nom, o-ring unstretched, un-compressed, center diamter (ID)</t>
  </si>
  <si>
    <t>min, o-ring unstretched, un-compressed, center diamter (ID)</t>
  </si>
  <si>
    <t>max, o-ring unstretched, un-compressed, center diamter (ID)</t>
  </si>
  <si>
    <t>Di</t>
  </si>
  <si>
    <t>Dc</t>
  </si>
  <si>
    <t>nom, o-ring unstretched, un-comressed cross-sectional diameter</t>
  </si>
  <si>
    <t>min, o-ring unstretched, un-comressed cross-sectional diameter</t>
  </si>
  <si>
    <t>max, o-ring unstretched, un-comressed cross-sectional diameter</t>
  </si>
  <si>
    <t>dos</t>
  </si>
  <si>
    <t>initial cross-section dia, min volume o-ring</t>
  </si>
  <si>
    <t>effective squeeze due to min V with Dg = Do</t>
  </si>
  <si>
    <t>However, the o-ring is stretched circumferrentially:</t>
  </si>
  <si>
    <t>Consider the case where the gland ID is set equal to the nominal o-ring ID (Parker)</t>
  </si>
  <si>
    <t>Consider the case where the gland ID is set equal to the nominal o-ring ID less 15% of the o-ring cross-sectional dia. (Roth)</t>
  </si>
  <si>
    <t>effective squeeze due to min V with Dg</t>
  </si>
  <si>
    <t>gland area, min</t>
  </si>
  <si>
    <t>gland area, max</t>
  </si>
  <si>
    <t>GLAND FILL RATIO</t>
  </si>
  <si>
    <t>O-RING VOLUMETRIC COMPRESSION</t>
  </si>
  <si>
    <t>The fill ratio is normally defined on the basis of the cross-sectional area of the o-ring and gland. Consider the volumes instead:</t>
  </si>
  <si>
    <t>k</t>
  </si>
  <si>
    <t>Vg</t>
  </si>
  <si>
    <t>gland cross-sectional area</t>
  </si>
  <si>
    <t>gap</t>
  </si>
  <si>
    <t>g</t>
  </si>
  <si>
    <t>w</t>
  </si>
  <si>
    <t>Ag</t>
  </si>
  <si>
    <t>K</t>
  </si>
  <si>
    <t>o-ring/gland fill ratio, area based</t>
  </si>
  <si>
    <t>o-ring/gland fill ratio, volume based</t>
  </si>
  <si>
    <t>error in fill ratio using cross-sectional area</t>
  </si>
  <si>
    <t>Le</t>
  </si>
  <si>
    <t>minimum thread engagement length</t>
  </si>
  <si>
    <t>At</t>
  </si>
  <si>
    <t>D</t>
  </si>
  <si>
    <t>major diameter</t>
  </si>
  <si>
    <t>1/in</t>
  </si>
  <si>
    <t>p</t>
  </si>
  <si>
    <t>number of threads per inch</t>
  </si>
  <si>
    <t>n</t>
  </si>
  <si>
    <t>pitch</t>
  </si>
  <si>
    <t>engineersedge.com</t>
  </si>
  <si>
    <t>min, rule of thumb</t>
  </si>
  <si>
    <t>ideal, rule of thumb</t>
  </si>
  <si>
    <t>max pressure on clamping ring</t>
  </si>
  <si>
    <t>max pressure on o-ring</t>
  </si>
  <si>
    <t>c1, compression on o-ring1</t>
  </si>
  <si>
    <t>d1, diameter of o-ring1</t>
  </si>
  <si>
    <t>d2, diameter of o-ring2</t>
  </si>
  <si>
    <t>B1, compressed height of o-ring1</t>
  </si>
  <si>
    <t>B2, compressed height of o-ring2</t>
  </si>
  <si>
    <t>c2, compression on o-ring2</t>
  </si>
  <si>
    <t>s1, gap for o-ring1</t>
  </si>
  <si>
    <t>s2, gap for o-ring2</t>
  </si>
  <si>
    <t>nominal</t>
  </si>
  <si>
    <t>Balanced o-rings:</t>
  </si>
  <si>
    <t>Min/Max o-rings:</t>
  </si>
  <si>
    <t>min tol</t>
  </si>
  <si>
    <t>max tol</t>
  </si>
  <si>
    <t>&gt; 1/2 the maximum o-ring cross-section diameter</t>
  </si>
  <si>
    <t>F</t>
  </si>
  <si>
    <t>10% min, 26% max</t>
  </si>
  <si>
    <t>standard conflat flange dimension</t>
  </si>
  <si>
    <t>F1, force per unit length of o-ring1 (min 70 Shore A)</t>
  </si>
  <si>
    <t>F2, force per unit length of o-ring2 (max 70 Shore A)</t>
  </si>
  <si>
    <t>F2-F1, force difference = applied atmospheric pressure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</si>
</sst>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.35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0" xfId="0" applyFont="1"/>
    <xf numFmtId="0" fontId="3" fillId="0" borderId="0" xfId="0" applyFont="1"/>
    <xf numFmtId="9" fontId="0" fillId="0" borderId="0" xfId="0" applyNumberFormat="1"/>
    <xf numFmtId="1" fontId="0" fillId="0" borderId="0" xfId="0" applyNumberFormat="1"/>
    <xf numFmtId="0" fontId="0" fillId="0" borderId="1" xfId="0" applyBorder="1"/>
    <xf numFmtId="9" fontId="0" fillId="0" borderId="1" xfId="0" applyNumberFormat="1" applyBorder="1"/>
    <xf numFmtId="1" fontId="0" fillId="0" borderId="1" xfId="0" applyNumberFormat="1" applyBorder="1"/>
    <xf numFmtId="11" fontId="0" fillId="0" borderId="0" xfId="0" applyNumberFormat="1"/>
    <xf numFmtId="0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0" fontId="4" fillId="0" borderId="0" xfId="0" applyFont="1"/>
    <xf numFmtId="0" fontId="5" fillId="0" borderId="0" xfId="0" applyFont="1"/>
    <xf numFmtId="0" fontId="0" fillId="0" borderId="0" xfId="0" quotePrefix="1" applyNumberFormat="1"/>
    <xf numFmtId="164" fontId="0" fillId="0" borderId="0" xfId="0" applyNumberFormat="1"/>
    <xf numFmtId="165" fontId="0" fillId="0" borderId="0" xfId="0" applyNumberFormat="1"/>
    <xf numFmtId="165" fontId="0" fillId="0" borderId="0" xfId="0" applyNumberFormat="1" applyFill="1"/>
    <xf numFmtId="9" fontId="0" fillId="3" borderId="0" xfId="0" applyNumberFormat="1" applyFill="1"/>
    <xf numFmtId="1" fontId="0" fillId="2" borderId="0" xfId="0" applyNumberFormat="1" applyFill="1"/>
    <xf numFmtId="0" fontId="0" fillId="0" borderId="1" xfId="0" applyBorder="1" applyAlignment="1">
      <alignment wrapText="1"/>
    </xf>
    <xf numFmtId="11" fontId="0" fillId="0" borderId="1" xfId="0" applyNumberFormat="1" applyBorder="1"/>
    <xf numFmtId="164" fontId="0" fillId="0" borderId="0" xfId="0" applyNumberFormat="1" applyFill="1"/>
    <xf numFmtId="10" fontId="0" fillId="0" borderId="0" xfId="0" applyNumberFormat="1"/>
    <xf numFmtId="165" fontId="0" fillId="5" borderId="0" xfId="0" applyNumberFormat="1" applyFill="1"/>
    <xf numFmtId="164" fontId="0" fillId="5" borderId="0" xfId="0" applyNumberFormat="1" applyFill="1"/>
    <xf numFmtId="9" fontId="0" fillId="0" borderId="0" xfId="0" applyNumberFormat="1" applyFill="1"/>
    <xf numFmtId="9" fontId="0" fillId="2" borderId="0" xfId="0" applyNumberFormat="1" applyFill="1"/>
    <xf numFmtId="0" fontId="0" fillId="6" borderId="0" xfId="0" applyFill="1"/>
    <xf numFmtId="2" fontId="0" fillId="6" borderId="0" xfId="0" applyNumberFormat="1" applyFill="1"/>
    <xf numFmtId="164" fontId="0" fillId="6" borderId="0" xfId="0" applyNumberFormat="1" applyFill="1"/>
    <xf numFmtId="1" fontId="0" fillId="0" borderId="0" xfId="0" applyNumberFormat="1" applyFill="1"/>
    <xf numFmtId="0" fontId="2" fillId="0" borderId="1" xfId="0" applyFont="1" applyBorder="1"/>
    <xf numFmtId="165" fontId="2" fillId="0" borderId="1" xfId="0" applyNumberFormat="1" applyFont="1" applyBorder="1"/>
    <xf numFmtId="165" fontId="0" fillId="0" borderId="1" xfId="0" applyNumberFormat="1" applyFill="1" applyBorder="1"/>
    <xf numFmtId="165" fontId="0" fillId="5" borderId="1" xfId="0" applyNumberFormat="1" applyFill="1" applyBorder="1"/>
    <xf numFmtId="165" fontId="0" fillId="0" borderId="1" xfId="0" applyNumberFormat="1" applyBorder="1"/>
    <xf numFmtId="165" fontId="0" fillId="4" borderId="1" xfId="0" applyNumberFormat="1" applyFill="1" applyBorder="1"/>
    <xf numFmtId="165" fontId="0" fillId="3" borderId="1" xfId="0" applyNumberFormat="1" applyFill="1" applyBorder="1"/>
    <xf numFmtId="165" fontId="0" fillId="5" borderId="2" xfId="0" applyNumberFormat="1" applyFill="1" applyBorder="1"/>
    <xf numFmtId="165" fontId="0" fillId="0" borderId="2" xfId="0" applyNumberFormat="1" applyBorder="1"/>
    <xf numFmtId="165" fontId="0" fillId="3" borderId="2" xfId="0" applyNumberFormat="1" applyFill="1" applyBorder="1"/>
    <xf numFmtId="0" fontId="2" fillId="0" borderId="3" xfId="0" applyFont="1" applyBorder="1"/>
    <xf numFmtId="165" fontId="0" fillId="0" borderId="3" xfId="0" applyNumberFormat="1" applyFill="1" applyBorder="1"/>
    <xf numFmtId="165" fontId="0" fillId="0" borderId="3" xfId="0" applyNumberFormat="1" applyBorder="1"/>
    <xf numFmtId="165" fontId="0" fillId="3" borderId="3" xfId="0" applyNumberFormat="1" applyFill="1" applyBorder="1"/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70 shore A min, 50%</c:v>
          </c:tx>
          <c:spPr>
            <a:ln>
              <a:noFill/>
            </a:ln>
          </c:spPr>
          <c:marker>
            <c:symbol val="square"/>
            <c:size val="5"/>
          </c:marker>
          <c:xVal>
            <c:numRef>
              <c:f>'SLC - 6in no wedge #2-253'!$Z$10</c:f>
              <c:numCache>
                <c:formatCode>0%</c:formatCode>
                <c:ptCount val="1"/>
                <c:pt idx="0">
                  <c:v>0.26</c:v>
                </c:pt>
              </c:numCache>
            </c:numRef>
          </c:xVal>
          <c:yVal>
            <c:numRef>
              <c:f>'SLC - 6in no wedge #2-253'!$AA$10</c:f>
              <c:numCache>
                <c:formatCode>0</c:formatCode>
                <c:ptCount val="1"/>
                <c:pt idx="0">
                  <c:v>8.7411480000000008</c:v>
                </c:pt>
              </c:numCache>
            </c:numRef>
          </c:yVal>
          <c:smooth val="0"/>
        </c:ser>
        <c:ser>
          <c:idx val="3"/>
          <c:order val="1"/>
          <c:tx>
            <c:v>80 shore A max, 50%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0000"/>
              </a:solidFill>
            </c:spPr>
          </c:marker>
          <c:xVal>
            <c:numRef>
              <c:f>'SLC - 6in no wedge #2-253'!$Z$10</c:f>
              <c:numCache>
                <c:formatCode>0%</c:formatCode>
                <c:ptCount val="1"/>
                <c:pt idx="0">
                  <c:v>0.26</c:v>
                </c:pt>
              </c:numCache>
            </c:numRef>
          </c:xVal>
          <c:yVal>
            <c:numRef>
              <c:f>'SLC - 6in no wedge #2-253'!$AD$10</c:f>
              <c:numCache>
                <c:formatCode>General</c:formatCode>
                <c:ptCount val="1"/>
                <c:pt idx="0">
                  <c:v>77.015926000000007</c:v>
                </c:pt>
              </c:numCache>
            </c:numRef>
          </c:yVal>
          <c:smooth val="0"/>
        </c:ser>
        <c:ser>
          <c:idx val="0"/>
          <c:order val="2"/>
          <c:tx>
            <c:v>Parker data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layout/>
              <c:numFmt formatCode="General" sourceLinked="0"/>
            </c:trendlineLbl>
          </c:trendline>
          <c:xVal>
            <c:numRef>
              <c:f>'SLC - 6in no wedge #2-253'!$Z$4:$Z$9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#2-253'!$AA$4:$AA$9</c:f>
              <c:numCache>
                <c:formatCode>General</c:formatCode>
                <c:ptCount val="6"/>
                <c:pt idx="0">
                  <c:v>0</c:v>
                </c:pt>
                <c:pt idx="1">
                  <c:v>0.95</c:v>
                </c:pt>
                <c:pt idx="2">
                  <c:v>2</c:v>
                </c:pt>
                <c:pt idx="3">
                  <c:v>4.5</c:v>
                </c:pt>
                <c:pt idx="4">
                  <c:v>10</c:v>
                </c:pt>
                <c:pt idx="5">
                  <c:v>25</c:v>
                </c:pt>
              </c:numCache>
            </c:numRef>
          </c:yVal>
          <c:smooth val="0"/>
        </c:ser>
        <c:ser>
          <c:idx val="5"/>
          <c:order val="3"/>
          <c:tx>
            <c:v>Parker data, 70sA max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layout/>
              <c:numFmt formatCode="General" sourceLinked="0"/>
            </c:trendlineLbl>
          </c:trendline>
          <c:xVal>
            <c:numRef>
              <c:f>'SLC - 6in no wedge #2-253'!$Z$4:$Z$9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#2-253'!$AB$4:$AB$9</c:f>
              <c:numCache>
                <c:formatCode>General</c:formatCode>
                <c:ptCount val="6"/>
                <c:pt idx="0">
                  <c:v>0</c:v>
                </c:pt>
                <c:pt idx="1">
                  <c:v>6</c:v>
                </c:pt>
                <c:pt idx="2">
                  <c:v>15</c:v>
                </c:pt>
                <c:pt idx="3">
                  <c:v>30</c:v>
                </c:pt>
                <c:pt idx="4">
                  <c:v>70</c:v>
                </c:pt>
                <c:pt idx="5">
                  <c:v>116</c:v>
                </c:pt>
              </c:numCache>
            </c:numRef>
          </c:yVal>
          <c:smooth val="0"/>
        </c:ser>
        <c:ser>
          <c:idx val="2"/>
          <c:order val="4"/>
          <c:tx>
            <c:v>Parker data, 80sA max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trendline>
            <c:trendlineType val="log"/>
            <c:dispRSqr val="0"/>
            <c:dispEq val="0"/>
          </c:trendline>
          <c:trendline>
            <c:trendlineType val="poly"/>
            <c:order val="2"/>
            <c:intercept val="0"/>
            <c:dispRSqr val="0"/>
            <c:dispEq val="1"/>
            <c:trendlineLbl>
              <c:layout/>
              <c:numFmt formatCode="General" sourceLinked="0"/>
            </c:trendlineLbl>
          </c:trendline>
          <c:xVal>
            <c:numRef>
              <c:f>'SLC - 6in no wedge #2-253'!$Z$4:$Z$9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#2-253'!$AD$4:$AD$9</c:f>
              <c:numCache>
                <c:formatCode>General</c:formatCode>
                <c:ptCount val="6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45</c:v>
                </c:pt>
                <c:pt idx="4">
                  <c:v>90</c:v>
                </c:pt>
                <c:pt idx="5">
                  <c:v>190</c:v>
                </c:pt>
              </c:numCache>
            </c:numRef>
          </c:yVal>
          <c:smooth val="0"/>
        </c:ser>
        <c:ser>
          <c:idx val="4"/>
          <c:order val="5"/>
          <c:tx>
            <c:v>Parker data, 80sA min</c:v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trendline>
            <c:trendlineType val="log"/>
            <c:dispRSqr val="0"/>
            <c:dispEq val="0"/>
          </c:trendline>
          <c:trendline>
            <c:trendlineType val="poly"/>
            <c:order val="2"/>
            <c:intercept val="0"/>
            <c:dispRSqr val="0"/>
            <c:dispEq val="1"/>
            <c:trendlineLbl>
              <c:layout/>
              <c:numFmt formatCode="General" sourceLinked="0"/>
            </c:trendlineLbl>
          </c:trendline>
          <c:xVal>
            <c:numRef>
              <c:f>'SLC - 6in no wedge #2-253'!$Z$4:$Z$9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#2-253'!$AC$4:$AC$9</c:f>
              <c:numCache>
                <c:formatCode>General</c:formatCode>
                <c:ptCount val="6"/>
                <c:pt idx="0">
                  <c:v>0</c:v>
                </c:pt>
                <c:pt idx="1">
                  <c:v>2.5</c:v>
                </c:pt>
                <c:pt idx="2">
                  <c:v>4.5</c:v>
                </c:pt>
                <c:pt idx="3">
                  <c:v>9</c:v>
                </c:pt>
                <c:pt idx="4">
                  <c:v>20</c:v>
                </c:pt>
                <c:pt idx="5">
                  <c:v>40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42944"/>
        <c:axId val="122244480"/>
      </c:scatterChart>
      <c:valAx>
        <c:axId val="12224294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22244480"/>
        <c:crosses val="autoZero"/>
        <c:crossBetween val="midCat"/>
      </c:valAx>
      <c:valAx>
        <c:axId val="122244480"/>
        <c:scaling>
          <c:orientation val="minMax"/>
          <c:max val="300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2242944"/>
        <c:crosses val="autoZero"/>
        <c:crossBetween val="midCat"/>
      </c:valAx>
    </c:plotArea>
    <c:legend>
      <c:legendPos val="r"/>
      <c:legendEntry>
        <c:idx val="7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70 shore A min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layout/>
              <c:numFmt formatCode="General" sourceLinked="0"/>
            </c:trendlineLbl>
          </c:trendline>
          <c:xVal>
            <c:numRef>
              <c:f>'SLC - 6in no wedge #2-253'!$Z$39:$Z$44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#2-253'!$AA$39:$AA$44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35</c:v>
                </c:pt>
                <c:pt idx="5">
                  <c:v>68</c:v>
                </c:pt>
              </c:numCache>
            </c:numRef>
          </c:yVal>
          <c:smooth val="0"/>
        </c:ser>
        <c:ser>
          <c:idx val="2"/>
          <c:order val="1"/>
          <c:tx>
            <c:v>70 shore A min, 50%</c:v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</c:spPr>
          </c:marker>
          <c:xVal>
            <c:numRef>
              <c:f>'SLC - 6in no wedge #2-253'!$Z$45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#2-253'!$AA$45</c:f>
              <c:numCache>
                <c:formatCode>0</c:formatCode>
                <c:ptCount val="1"/>
                <c:pt idx="0">
                  <c:v>103.64250000000001</c:v>
                </c:pt>
              </c:numCache>
            </c:numRef>
          </c:yVal>
          <c:smooth val="0"/>
        </c:ser>
        <c:ser>
          <c:idx val="1"/>
          <c:order val="2"/>
          <c:tx>
            <c:v>80 shore A max</c:v>
          </c:tx>
          <c:marker>
            <c:symbol val="none"/>
          </c:marker>
          <c:trendline>
            <c:trendlineType val="poly"/>
            <c:order val="2"/>
            <c:intercept val="0"/>
            <c:dispRSqr val="0"/>
            <c:dispEq val="1"/>
            <c:trendlineLbl>
              <c:layout/>
              <c:numFmt formatCode="General" sourceLinked="0"/>
            </c:trendlineLbl>
          </c:trendline>
          <c:xVal>
            <c:numRef>
              <c:f>'SLC - 6in no wedge #2-253'!$Z$39:$Z$44</c:f>
              <c:numCache>
                <c:formatCode>0%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</c:v>
                </c:pt>
                <c:pt idx="5">
                  <c:v>0.4</c:v>
                </c:pt>
              </c:numCache>
            </c:numRef>
          </c:xVal>
          <c:yVal>
            <c:numRef>
              <c:f>'SLC - 6in no wedge #2-253'!$AD$39:$AD$44</c:f>
              <c:numCache>
                <c:formatCode>General</c:formatCode>
                <c:ptCount val="6"/>
                <c:pt idx="0">
                  <c:v>0</c:v>
                </c:pt>
                <c:pt idx="1">
                  <c:v>15</c:v>
                </c:pt>
                <c:pt idx="2">
                  <c:v>28</c:v>
                </c:pt>
                <c:pt idx="3">
                  <c:v>55</c:v>
                </c:pt>
                <c:pt idx="4">
                  <c:v>100</c:v>
                </c:pt>
                <c:pt idx="5">
                  <c:v>250</c:v>
                </c:pt>
              </c:numCache>
            </c:numRef>
          </c:yVal>
          <c:smooth val="0"/>
        </c:ser>
        <c:ser>
          <c:idx val="3"/>
          <c:order val="3"/>
          <c:tx>
            <c:v>80 shore A max, 50%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</c:spPr>
          </c:marker>
          <c:xVal>
            <c:numRef>
              <c:f>'SLC - 6in no wedge #2-253'!$Z$45</c:f>
              <c:numCache>
                <c:formatCode>0%</c:formatCode>
                <c:ptCount val="1"/>
                <c:pt idx="0">
                  <c:v>0.5</c:v>
                </c:pt>
              </c:numCache>
            </c:numRef>
          </c:xVal>
          <c:yVal>
            <c:numRef>
              <c:f>'SLC - 6in no wedge #2-253'!$AD$45</c:f>
              <c:numCache>
                <c:formatCode>General</c:formatCode>
                <c:ptCount val="1"/>
                <c:pt idx="0">
                  <c:v>375.911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60864"/>
        <c:axId val="122263040"/>
      </c:scatterChart>
      <c:valAx>
        <c:axId val="122260864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22263040"/>
        <c:crosses val="autoZero"/>
        <c:crossBetween val="midCat"/>
      </c:valAx>
      <c:valAx>
        <c:axId val="122263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2608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Leak Rate, Air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Dry</c:v>
          </c:tx>
          <c:marker>
            <c:symbol val="none"/>
          </c:marker>
          <c:trendline>
            <c:trendlineType val="power"/>
            <c:dispRSqr val="0"/>
            <c:dispEq val="1"/>
            <c:trendlineLbl>
              <c:layout>
                <c:manualLayout>
                  <c:x val="-8.3018591426071736E-2"/>
                  <c:y val="1.5059419655876349E-2"/>
                </c:manualLayout>
              </c:layout>
              <c:numFmt formatCode="0.00E+00" sourceLinked="0"/>
            </c:trendlineLbl>
          </c:trendline>
          <c:xVal>
            <c:numRef>
              <c:f>'SLC - 6in no wedge #2-253'!$U$59:$U$61</c:f>
              <c:numCache>
                <c:formatCode>0%</c:formatCode>
                <c:ptCount val="3"/>
                <c:pt idx="0">
                  <c:v>0.15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'SLC - 6in no wedge #2-253'!$X$59:$X$61</c:f>
              <c:numCache>
                <c:formatCode>General</c:formatCode>
                <c:ptCount val="3"/>
                <c:pt idx="0">
                  <c:v>2.6627737226277368E-7</c:v>
                </c:pt>
                <c:pt idx="1">
                  <c:v>1.3313868613138684E-7</c:v>
                </c:pt>
                <c:pt idx="2">
                  <c:v>7.2116788321167876E-8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89088"/>
        <c:axId val="122503168"/>
      </c:scatterChart>
      <c:valAx>
        <c:axId val="122489088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22503168"/>
        <c:crosses val="autoZero"/>
        <c:crossBetween val="midCat"/>
      </c:valAx>
      <c:valAx>
        <c:axId val="122503168"/>
        <c:scaling>
          <c:orientation val="minMax"/>
        </c:scaling>
        <c:delete val="0"/>
        <c:axPos val="l"/>
        <c:majorGridlines/>
        <c:numFmt formatCode="0.0E+00" sourceLinked="0"/>
        <c:majorTickMark val="out"/>
        <c:minorTickMark val="none"/>
        <c:tickLblPos val="nextTo"/>
        <c:crossAx val="1224890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246530</xdr:colOff>
      <xdr:row>0</xdr:row>
      <xdr:rowOff>209548</xdr:rowOff>
    </xdr:from>
    <xdr:to>
      <xdr:col>42</xdr:col>
      <xdr:colOff>168088</xdr:colOff>
      <xdr:row>28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371475</xdr:colOff>
      <xdr:row>62</xdr:row>
      <xdr:rowOff>0</xdr:rowOff>
    </xdr:from>
    <xdr:to>
      <xdr:col>18</xdr:col>
      <xdr:colOff>104352</xdr:colOff>
      <xdr:row>79</xdr:row>
      <xdr:rowOff>85297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06400" y="10696575"/>
          <a:ext cx="3390477" cy="3428572"/>
        </a:xfrm>
        <a:prstGeom prst="rect">
          <a:avLst/>
        </a:prstGeom>
      </xdr:spPr>
    </xdr:pic>
    <xdr:clientData/>
  </xdr:twoCellAnchor>
  <xdr:twoCellAnchor editAs="oneCell">
    <xdr:from>
      <xdr:col>7</xdr:col>
      <xdr:colOff>1552575</xdr:colOff>
      <xdr:row>128</xdr:row>
      <xdr:rowOff>133350</xdr:rowOff>
    </xdr:from>
    <xdr:to>
      <xdr:col>9</xdr:col>
      <xdr:colOff>752043</xdr:colOff>
      <xdr:row>145</xdr:row>
      <xdr:rowOff>142469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01025" y="22479000"/>
          <a:ext cx="3457143" cy="3247619"/>
        </a:xfrm>
        <a:prstGeom prst="rect">
          <a:avLst/>
        </a:prstGeom>
      </xdr:spPr>
    </xdr:pic>
    <xdr:clientData/>
  </xdr:twoCellAnchor>
  <xdr:twoCellAnchor editAs="oneCell">
    <xdr:from>
      <xdr:col>7</xdr:col>
      <xdr:colOff>1571625</xdr:colOff>
      <xdr:row>146</xdr:row>
      <xdr:rowOff>104775</xdr:rowOff>
    </xdr:from>
    <xdr:to>
      <xdr:col>10</xdr:col>
      <xdr:colOff>9088</xdr:colOff>
      <xdr:row>164</xdr:row>
      <xdr:rowOff>66249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0075" y="25879425"/>
          <a:ext cx="3495238" cy="3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70338</xdr:rowOff>
    </xdr:from>
    <xdr:to>
      <xdr:col>7</xdr:col>
      <xdr:colOff>60328</xdr:colOff>
      <xdr:row>184</xdr:row>
      <xdr:rowOff>40647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130488"/>
          <a:ext cx="7337428" cy="8923810"/>
        </a:xfrm>
        <a:prstGeom prst="rect">
          <a:avLst/>
        </a:prstGeom>
      </xdr:spPr>
    </xdr:pic>
    <xdr:clientData/>
  </xdr:twoCellAnchor>
  <xdr:twoCellAnchor editAs="oneCell">
    <xdr:from>
      <xdr:col>7</xdr:col>
      <xdr:colOff>3573555</xdr:colOff>
      <xdr:row>0</xdr:row>
      <xdr:rowOff>151279</xdr:rowOff>
    </xdr:from>
    <xdr:to>
      <xdr:col>21</xdr:col>
      <xdr:colOff>502352</xdr:colOff>
      <xdr:row>27</xdr:row>
      <xdr:rowOff>7299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2005" y="151279"/>
          <a:ext cx="8692172" cy="5391288"/>
        </a:xfrm>
        <a:prstGeom prst="rect">
          <a:avLst/>
        </a:prstGeom>
      </xdr:spPr>
    </xdr:pic>
    <xdr:clientData/>
  </xdr:twoCellAnchor>
  <xdr:twoCellAnchor>
    <xdr:from>
      <xdr:col>30</xdr:col>
      <xdr:colOff>274542</xdr:colOff>
      <xdr:row>36</xdr:row>
      <xdr:rowOff>40341</xdr:rowOff>
    </xdr:from>
    <xdr:to>
      <xdr:col>42</xdr:col>
      <xdr:colOff>134469</xdr:colOff>
      <xdr:row>58</xdr:row>
      <xdr:rowOff>89647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13</xdr:col>
      <xdr:colOff>9525</xdr:colOff>
      <xdr:row>28</xdr:row>
      <xdr:rowOff>171450</xdr:rowOff>
    </xdr:from>
    <xdr:to>
      <xdr:col>18</xdr:col>
      <xdr:colOff>94859</xdr:colOff>
      <xdr:row>53</xdr:row>
      <xdr:rowOff>60280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54050" y="5715000"/>
          <a:ext cx="3133334" cy="4771429"/>
        </a:xfrm>
        <a:prstGeom prst="rect">
          <a:avLst/>
        </a:prstGeom>
      </xdr:spPr>
    </xdr:pic>
    <xdr:clientData/>
  </xdr:twoCellAnchor>
  <xdr:twoCellAnchor>
    <xdr:from>
      <xdr:col>20</xdr:col>
      <xdr:colOff>166687</xdr:colOff>
      <xdr:row>64</xdr:row>
      <xdr:rowOff>23812</xdr:rowOff>
    </xdr:from>
    <xdr:to>
      <xdr:col>25</xdr:col>
      <xdr:colOff>338137</xdr:colOff>
      <xdr:row>78</xdr:row>
      <xdr:rowOff>90487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7"/>
  <sheetViews>
    <sheetView tabSelected="1" topLeftCell="A22" zoomScale="85" zoomScaleNormal="85" workbookViewId="0">
      <selection activeCell="H30" sqref="H30"/>
    </sheetView>
  </sheetViews>
  <sheetFormatPr defaultRowHeight="14.4" x14ac:dyDescent="0.3"/>
  <cols>
    <col min="1" max="1" width="11.6640625" customWidth="1"/>
    <col min="2" max="2" width="8.33203125" customWidth="1"/>
    <col min="3" max="6" width="9.44140625" customWidth="1"/>
    <col min="7" max="7" width="51.44140625" customWidth="1"/>
    <col min="8" max="8" width="54.6640625" customWidth="1"/>
    <col min="10" max="10" width="12" bestFit="1" customWidth="1"/>
    <col min="22" max="22" width="13.44140625" customWidth="1"/>
    <col min="23" max="23" width="17" customWidth="1"/>
    <col min="24" max="24" width="17.33203125" customWidth="1"/>
    <col min="27" max="27" width="13.109375" customWidth="1"/>
    <col min="28" max="28" width="13.33203125" customWidth="1"/>
    <col min="29" max="29" width="12.88671875" customWidth="1"/>
    <col min="30" max="30" width="13.5546875" customWidth="1"/>
  </cols>
  <sheetData>
    <row r="1" spans="1:30" ht="28.8" x14ac:dyDescent="0.55000000000000004">
      <c r="A1" s="2" t="s">
        <v>9</v>
      </c>
      <c r="B1" s="2"/>
      <c r="Z1" t="s">
        <v>68</v>
      </c>
    </row>
    <row r="2" spans="1:30" x14ac:dyDescent="0.3">
      <c r="AA2" s="5" t="s">
        <v>64</v>
      </c>
      <c r="AB2" s="5" t="s">
        <v>64</v>
      </c>
      <c r="AC2" s="5" t="s">
        <v>66</v>
      </c>
      <c r="AD2" s="5" t="s">
        <v>66</v>
      </c>
    </row>
    <row r="3" spans="1:30" x14ac:dyDescent="0.3">
      <c r="A3" s="1" t="s">
        <v>1</v>
      </c>
      <c r="B3" s="14" t="s">
        <v>63</v>
      </c>
      <c r="C3" s="1" t="s">
        <v>2</v>
      </c>
      <c r="D3" s="1" t="s">
        <v>1</v>
      </c>
      <c r="E3" s="1" t="s">
        <v>2</v>
      </c>
      <c r="F3" s="1"/>
      <c r="G3" s="1" t="s">
        <v>3</v>
      </c>
      <c r="H3" s="1" t="s">
        <v>36</v>
      </c>
      <c r="Z3" s="5" t="s">
        <v>10</v>
      </c>
      <c r="AA3" s="5" t="s">
        <v>65</v>
      </c>
      <c r="AB3" s="5" t="s">
        <v>67</v>
      </c>
      <c r="AC3" s="5" t="s">
        <v>65</v>
      </c>
      <c r="AD3" s="5" t="s">
        <v>67</v>
      </c>
    </row>
    <row r="4" spans="1:30" ht="15.6" x14ac:dyDescent="0.3">
      <c r="A4" s="1"/>
      <c r="B4" s="1"/>
      <c r="C4" s="1"/>
      <c r="D4" s="1"/>
      <c r="E4" s="1"/>
      <c r="F4" s="1"/>
      <c r="G4" s="13" t="s">
        <v>61</v>
      </c>
      <c r="H4" s="1"/>
      <c r="Z4" s="6">
        <v>0</v>
      </c>
      <c r="AA4" s="5">
        <v>0</v>
      </c>
      <c r="AB4" s="5">
        <v>0</v>
      </c>
      <c r="AC4" s="5">
        <v>0</v>
      </c>
      <c r="AD4" s="5">
        <v>0</v>
      </c>
    </row>
    <row r="5" spans="1:30" x14ac:dyDescent="0.3">
      <c r="A5" s="29">
        <v>6</v>
      </c>
      <c r="B5" s="29">
        <v>0.01</v>
      </c>
      <c r="C5" t="s">
        <v>8</v>
      </c>
      <c r="G5" t="s">
        <v>0</v>
      </c>
      <c r="H5" t="s">
        <v>141</v>
      </c>
      <c r="Z5" s="6">
        <v>0.05</v>
      </c>
      <c r="AA5" s="5">
        <v>0.95</v>
      </c>
      <c r="AB5" s="5">
        <v>6</v>
      </c>
      <c r="AC5" s="5">
        <v>2.5</v>
      </c>
      <c r="AD5" s="5">
        <v>10</v>
      </c>
    </row>
    <row r="6" spans="1:30" ht="29.4" customHeight="1" x14ac:dyDescent="0.3">
      <c r="A6" s="29">
        <v>0.03</v>
      </c>
      <c r="B6" s="29">
        <v>0.01</v>
      </c>
      <c r="C6" t="s">
        <v>8</v>
      </c>
      <c r="G6" t="s">
        <v>139</v>
      </c>
      <c r="H6" s="11" t="s">
        <v>160</v>
      </c>
      <c r="Z6" s="6">
        <v>0.1</v>
      </c>
      <c r="AA6" s="5">
        <v>2</v>
      </c>
      <c r="AB6" s="5">
        <v>15</v>
      </c>
      <c r="AC6" s="5">
        <v>4.5</v>
      </c>
      <c r="AD6" s="5">
        <v>20</v>
      </c>
    </row>
    <row r="7" spans="1:30" x14ac:dyDescent="0.3">
      <c r="A7">
        <f>A5-2*A6</f>
        <v>5.94</v>
      </c>
      <c r="B7">
        <f>B5+B6</f>
        <v>0.02</v>
      </c>
      <c r="C7" t="s">
        <v>8</v>
      </c>
      <c r="G7" t="s">
        <v>140</v>
      </c>
      <c r="Z7" s="6">
        <v>0.2</v>
      </c>
      <c r="AA7" s="5">
        <v>4.5</v>
      </c>
      <c r="AB7" s="5">
        <v>30</v>
      </c>
      <c r="AC7" s="5">
        <v>9</v>
      </c>
      <c r="AD7" s="5">
        <v>45</v>
      </c>
    </row>
    <row r="8" spans="1:30" x14ac:dyDescent="0.3">
      <c r="A8" s="30">
        <v>5.2</v>
      </c>
      <c r="C8" t="s">
        <v>8</v>
      </c>
      <c r="G8" t="s">
        <v>4</v>
      </c>
      <c r="H8" t="s">
        <v>141</v>
      </c>
      <c r="Z8" s="6">
        <v>0.3</v>
      </c>
      <c r="AA8" s="5">
        <v>10</v>
      </c>
      <c r="AB8" s="5">
        <v>70</v>
      </c>
      <c r="AC8" s="5">
        <v>20</v>
      </c>
      <c r="AD8" s="5">
        <v>90</v>
      </c>
    </row>
    <row r="9" spans="1:30" x14ac:dyDescent="0.3">
      <c r="A9" s="29">
        <v>0.75</v>
      </c>
      <c r="B9" s="29">
        <v>0.01</v>
      </c>
      <c r="C9" t="s">
        <v>8</v>
      </c>
      <c r="G9" t="s">
        <v>44</v>
      </c>
      <c r="H9" s="12"/>
      <c r="Z9" s="6">
        <v>0.4</v>
      </c>
      <c r="AA9" s="5">
        <v>25</v>
      </c>
      <c r="AB9" s="5">
        <v>116</v>
      </c>
      <c r="AC9" s="5">
        <v>40</v>
      </c>
      <c r="AD9" s="5">
        <v>190</v>
      </c>
    </row>
    <row r="10" spans="1:30" x14ac:dyDescent="0.3">
      <c r="A10" t="s">
        <v>59</v>
      </c>
      <c r="C10" t="s">
        <v>7</v>
      </c>
      <c r="G10" t="s">
        <v>37</v>
      </c>
      <c r="Z10" s="6">
        <v>0.26</v>
      </c>
      <c r="AA10" s="7">
        <f>185.23*Z10^2-14.54*Z10</f>
        <v>8.7411480000000008</v>
      </c>
      <c r="AB10" s="5">
        <f>588.97*Z10^2+53.652*Z10</f>
        <v>53.763892000000006</v>
      </c>
      <c r="AC10" s="5">
        <f>239.8*Z10^2+1.2051*Z10</f>
        <v>16.523806000000004</v>
      </c>
      <c r="AD10" s="5">
        <f>1159.2*Z10^2-5.1769*Z10</f>
        <v>77.015926000000007</v>
      </c>
    </row>
    <row r="11" spans="1:30" x14ac:dyDescent="0.3">
      <c r="A11" s="8">
        <f>D11/6894.75729</f>
        <v>10674777.5018488</v>
      </c>
      <c r="B11" s="8"/>
      <c r="C11" t="s">
        <v>22</v>
      </c>
      <c r="D11" s="8">
        <v>73600000000</v>
      </c>
      <c r="E11" t="s">
        <v>55</v>
      </c>
      <c r="G11" t="s">
        <v>45</v>
      </c>
      <c r="H11" t="s">
        <v>60</v>
      </c>
    </row>
    <row r="12" spans="1:30" x14ac:dyDescent="0.3">
      <c r="A12" s="12">
        <v>0.16700000000000001</v>
      </c>
      <c r="B12" s="12"/>
      <c r="C12" t="s">
        <v>7</v>
      </c>
      <c r="G12" t="s">
        <v>46</v>
      </c>
      <c r="H12" t="s">
        <v>60</v>
      </c>
      <c r="AA12">
        <f>AA6*PI()*($A29+$A30)</f>
        <v>34.544952818873369</v>
      </c>
      <c r="AD12">
        <f>AD10*PI()*($A29+$A30)</f>
        <v>1330.2557649859214</v>
      </c>
    </row>
    <row r="13" spans="1:30" x14ac:dyDescent="0.3">
      <c r="A13" s="8">
        <f>D13/6894.75729</f>
        <v>7251.8868898429346</v>
      </c>
      <c r="B13" s="8"/>
      <c r="C13" t="s">
        <v>22</v>
      </c>
      <c r="D13" s="8">
        <v>50000000</v>
      </c>
      <c r="E13" t="s">
        <v>55</v>
      </c>
      <c r="G13" t="s">
        <v>38</v>
      </c>
      <c r="H13" t="s">
        <v>60</v>
      </c>
    </row>
    <row r="14" spans="1:30" ht="15.6" x14ac:dyDescent="0.3">
      <c r="A14" s="8"/>
      <c r="B14" s="8"/>
      <c r="D14" s="8"/>
      <c r="G14" s="13" t="s">
        <v>111</v>
      </c>
    </row>
    <row r="15" spans="1:30" x14ac:dyDescent="0.3">
      <c r="A15" s="17">
        <v>7.97</v>
      </c>
      <c r="B15" s="17">
        <v>0.01</v>
      </c>
      <c r="D15" s="8"/>
      <c r="G15" t="s">
        <v>112</v>
      </c>
    </row>
    <row r="16" spans="1:30" x14ac:dyDescent="0.3">
      <c r="A16" s="17">
        <f>A22</f>
        <v>5.2381500000000001</v>
      </c>
      <c r="B16" s="17">
        <v>0.01</v>
      </c>
      <c r="C16" s="17"/>
      <c r="D16" s="17"/>
      <c r="E16" s="17"/>
      <c r="F16" s="17"/>
      <c r="G16" t="s">
        <v>113</v>
      </c>
      <c r="H16" s="12"/>
    </row>
    <row r="17" spans="1:9" x14ac:dyDescent="0.3">
      <c r="A17" s="17">
        <f>A5+0.05</f>
        <v>6.05</v>
      </c>
      <c r="B17" s="17">
        <v>0.01</v>
      </c>
      <c r="C17" s="17"/>
      <c r="D17" s="17"/>
      <c r="E17" s="17"/>
      <c r="F17" s="17"/>
      <c r="G17" t="s">
        <v>114</v>
      </c>
    </row>
    <row r="18" spans="1:9" x14ac:dyDescent="0.3">
      <c r="A18" s="17">
        <v>0.625</v>
      </c>
      <c r="B18" s="17">
        <v>0.01</v>
      </c>
      <c r="C18" s="17"/>
      <c r="D18" s="17"/>
      <c r="E18" s="17"/>
      <c r="F18" s="17"/>
      <c r="G18" t="s">
        <v>115</v>
      </c>
      <c r="H18" s="12"/>
    </row>
    <row r="19" spans="1:9" x14ac:dyDescent="0.3">
      <c r="A19" s="31">
        <f>A9/2+A72</f>
        <v>0.5</v>
      </c>
      <c r="B19" s="17">
        <v>1E-3</v>
      </c>
      <c r="C19" s="17"/>
      <c r="D19" s="17"/>
      <c r="E19" s="17"/>
      <c r="F19" s="17"/>
      <c r="G19" t="s">
        <v>116</v>
      </c>
    </row>
    <row r="20" spans="1:9" ht="15.6" x14ac:dyDescent="0.3">
      <c r="A20" s="17"/>
      <c r="B20" s="17"/>
      <c r="C20" s="17"/>
      <c r="D20" s="17"/>
      <c r="E20" s="17"/>
      <c r="F20" s="17"/>
      <c r="G20" s="13" t="s">
        <v>118</v>
      </c>
    </row>
    <row r="21" spans="1:9" x14ac:dyDescent="0.3">
      <c r="A21" s="17">
        <v>9.9700000000000006</v>
      </c>
      <c r="B21" s="17">
        <v>0.01</v>
      </c>
      <c r="C21" s="17"/>
      <c r="D21" s="17"/>
      <c r="E21" s="17"/>
      <c r="F21" s="17"/>
      <c r="G21" t="s">
        <v>119</v>
      </c>
      <c r="H21" s="12" t="s">
        <v>241</v>
      </c>
    </row>
    <row r="22" spans="1:9" x14ac:dyDescent="0.3">
      <c r="A22" s="17">
        <f>A57-2*A26</f>
        <v>5.2381500000000001</v>
      </c>
      <c r="B22" s="17">
        <v>0.01</v>
      </c>
      <c r="C22" s="17"/>
      <c r="D22" s="17"/>
      <c r="E22" s="17"/>
      <c r="F22" s="17"/>
      <c r="G22" t="s">
        <v>120</v>
      </c>
      <c r="H22" t="s">
        <v>144</v>
      </c>
    </row>
    <row r="23" spans="1:9" x14ac:dyDescent="0.3">
      <c r="A23" s="17">
        <f>A5+0.05</f>
        <v>6.05</v>
      </c>
      <c r="B23" s="17">
        <v>0.01</v>
      </c>
      <c r="C23" s="17"/>
      <c r="D23" s="17"/>
      <c r="E23" s="17"/>
      <c r="F23" s="17"/>
      <c r="G23" t="s">
        <v>121</v>
      </c>
    </row>
    <row r="24" spans="1:9" x14ac:dyDescent="0.3">
      <c r="A24" s="17">
        <v>0.97</v>
      </c>
      <c r="B24" s="17">
        <v>0.01</v>
      </c>
      <c r="C24" s="17"/>
      <c r="D24" s="17"/>
      <c r="E24" s="17"/>
      <c r="F24" s="17"/>
      <c r="G24" t="s">
        <v>122</v>
      </c>
      <c r="H24" s="12" t="s">
        <v>241</v>
      </c>
    </row>
    <row r="25" spans="1:9" x14ac:dyDescent="0.3">
      <c r="A25" s="31">
        <v>0.28999999999999998</v>
      </c>
      <c r="B25" s="17">
        <v>1E-3</v>
      </c>
      <c r="C25" s="17"/>
      <c r="D25" s="17"/>
      <c r="E25" s="17"/>
      <c r="F25" s="17"/>
      <c r="G25" t="s">
        <v>123</v>
      </c>
    </row>
    <row r="26" spans="1:9" x14ac:dyDescent="0.3">
      <c r="A26" s="17">
        <v>0.05</v>
      </c>
      <c r="B26" s="17"/>
      <c r="C26" s="17"/>
      <c r="D26" s="17"/>
      <c r="E26" s="17"/>
      <c r="F26" s="17"/>
      <c r="G26" t="s">
        <v>143</v>
      </c>
    </row>
    <row r="27" spans="1:9" ht="15.6" x14ac:dyDescent="0.3">
      <c r="A27" s="17"/>
      <c r="B27" s="17"/>
      <c r="C27" s="17"/>
      <c r="D27" s="17"/>
      <c r="E27" s="17"/>
      <c r="F27" s="17"/>
      <c r="G27" s="13" t="s">
        <v>62</v>
      </c>
    </row>
    <row r="28" spans="1:9" x14ac:dyDescent="0.3">
      <c r="A28" t="s">
        <v>142</v>
      </c>
      <c r="C28" t="s">
        <v>7</v>
      </c>
      <c r="G28" t="s">
        <v>6</v>
      </c>
    </row>
    <row r="29" spans="1:9" x14ac:dyDescent="0.3">
      <c r="A29">
        <v>5.359</v>
      </c>
      <c r="B29">
        <v>3.5000000000000003E-2</v>
      </c>
      <c r="C29" t="s">
        <v>8</v>
      </c>
      <c r="D29">
        <f t="shared" ref="D29:D31" si="0">A29*25.4</f>
        <v>136.11859999999999</v>
      </c>
      <c r="E29" t="s">
        <v>155</v>
      </c>
      <c r="G29" t="s">
        <v>21</v>
      </c>
    </row>
    <row r="30" spans="1:9" x14ac:dyDescent="0.3">
      <c r="A30">
        <v>0.13900000000000001</v>
      </c>
      <c r="B30">
        <v>4.0000000000000001E-3</v>
      </c>
      <c r="C30" t="s">
        <v>8</v>
      </c>
      <c r="D30">
        <f t="shared" si="0"/>
        <v>3.5306000000000002</v>
      </c>
      <c r="E30" t="s">
        <v>155</v>
      </c>
      <c r="G30" t="s">
        <v>156</v>
      </c>
    </row>
    <row r="31" spans="1:9" x14ac:dyDescent="0.3">
      <c r="A31">
        <f>A29+A30</f>
        <v>5.4980000000000002</v>
      </c>
      <c r="C31" t="s">
        <v>8</v>
      </c>
      <c r="D31">
        <f t="shared" si="0"/>
        <v>139.64920000000001</v>
      </c>
      <c r="E31" t="s">
        <v>155</v>
      </c>
      <c r="G31" t="s">
        <v>87</v>
      </c>
      <c r="I31">
        <f>A31/2</f>
        <v>2.7490000000000001</v>
      </c>
    </row>
    <row r="32" spans="1:9" x14ac:dyDescent="0.3">
      <c r="A32">
        <v>75</v>
      </c>
      <c r="B32">
        <v>5</v>
      </c>
      <c r="C32" t="s">
        <v>7</v>
      </c>
      <c r="G32" t="s">
        <v>5</v>
      </c>
      <c r="I32">
        <f>I31+(A57-J53)/2</f>
        <v>2.7509166376719176</v>
      </c>
    </row>
    <row r="33" spans="1:30" x14ac:dyDescent="0.3">
      <c r="A33" s="3">
        <v>0.18</v>
      </c>
      <c r="B33" s="3">
        <v>0.08</v>
      </c>
      <c r="C33" t="s">
        <v>7</v>
      </c>
      <c r="G33" t="s">
        <v>133</v>
      </c>
      <c r="H33" t="s">
        <v>240</v>
      </c>
      <c r="I33">
        <f>2*2.619</f>
        <v>5.2380000000000004</v>
      </c>
    </row>
    <row r="34" spans="1:30" x14ac:dyDescent="0.3">
      <c r="A34" s="8">
        <f>X62*PI()*A31</f>
        <v>3.8446854141416244E-6</v>
      </c>
      <c r="C34" t="s">
        <v>28</v>
      </c>
      <c r="G34" t="s">
        <v>148</v>
      </c>
    </row>
    <row r="35" spans="1:30" x14ac:dyDescent="0.3">
      <c r="A35" s="8">
        <f>X63*PI()*A31</f>
        <v>2.5175503060272039E-6</v>
      </c>
      <c r="C35" t="s">
        <v>28</v>
      </c>
      <c r="G35" t="s">
        <v>147</v>
      </c>
    </row>
    <row r="36" spans="1:30" x14ac:dyDescent="0.3">
      <c r="A36" s="4">
        <f>(AD10+AA10)/2</f>
        <v>42.878537000000001</v>
      </c>
      <c r="B36" s="4">
        <f>(AD10-AA10)/2</f>
        <v>34.137389000000006</v>
      </c>
      <c r="C36" t="s">
        <v>34</v>
      </c>
      <c r="G36" t="s">
        <v>31</v>
      </c>
      <c r="I36" s="4"/>
      <c r="Z36" t="s">
        <v>74</v>
      </c>
    </row>
    <row r="37" spans="1:30" x14ac:dyDescent="0.3">
      <c r="A37" s="4">
        <f>A36*PI()*($A29+$A30)</f>
        <v>740.61851880365793</v>
      </c>
      <c r="B37" s="4">
        <f>B36*PI()*($A29+$A30)</f>
        <v>589.63724618226342</v>
      </c>
      <c r="C37" t="s">
        <v>35</v>
      </c>
      <c r="G37" t="s">
        <v>32</v>
      </c>
      <c r="AA37" s="5" t="s">
        <v>64</v>
      </c>
      <c r="AB37" s="5" t="s">
        <v>64</v>
      </c>
      <c r="AC37" s="5" t="s">
        <v>66</v>
      </c>
      <c r="AD37" s="5" t="s">
        <v>66</v>
      </c>
    </row>
    <row r="38" spans="1:30" x14ac:dyDescent="0.3">
      <c r="A38" s="32">
        <f>A37-B37</f>
        <v>150.98127262139451</v>
      </c>
      <c r="B38" s="4"/>
      <c r="C38" t="s">
        <v>35</v>
      </c>
      <c r="G38" t="s">
        <v>75</v>
      </c>
      <c r="Z38" s="5" t="s">
        <v>10</v>
      </c>
      <c r="AA38" s="5" t="s">
        <v>65</v>
      </c>
      <c r="AB38" s="5" t="s">
        <v>67</v>
      </c>
      <c r="AC38" s="5" t="s">
        <v>65</v>
      </c>
      <c r="AD38" s="5" t="s">
        <v>67</v>
      </c>
    </row>
    <row r="39" spans="1:30" x14ac:dyDescent="0.3">
      <c r="A39" s="32">
        <f>A37+B37</f>
        <v>1330.2557649859214</v>
      </c>
      <c r="B39" s="4"/>
      <c r="C39" t="s">
        <v>35</v>
      </c>
      <c r="G39" t="s">
        <v>76</v>
      </c>
      <c r="Z39" s="6">
        <v>0</v>
      </c>
      <c r="AA39" s="5">
        <v>0</v>
      </c>
      <c r="AB39" s="5"/>
      <c r="AC39" s="5"/>
      <c r="AD39" s="5">
        <v>0</v>
      </c>
    </row>
    <row r="40" spans="1:30" x14ac:dyDescent="0.3">
      <c r="A40" s="20">
        <f>A39/(PI()*(2.975^2-2.735^2))</f>
        <v>308.98537737011048</v>
      </c>
      <c r="B40" s="4"/>
      <c r="C40" t="s">
        <v>22</v>
      </c>
      <c r="G40" t="s">
        <v>223</v>
      </c>
      <c r="Z40" s="6">
        <v>0.05</v>
      </c>
      <c r="AA40" s="5">
        <v>3</v>
      </c>
      <c r="AB40" s="5"/>
      <c r="AC40" s="5"/>
      <c r="AD40" s="5">
        <v>15</v>
      </c>
    </row>
    <row r="41" spans="1:30" x14ac:dyDescent="0.3">
      <c r="A41" s="20">
        <f>A39/(PI()*((2.736+0.099)^2-2.736^2))</f>
        <v>767.74487134493097</v>
      </c>
      <c r="B41" s="4"/>
      <c r="C41" t="s">
        <v>22</v>
      </c>
      <c r="G41" t="s">
        <v>224</v>
      </c>
      <c r="Z41" s="6">
        <v>0.1</v>
      </c>
      <c r="AA41" s="5">
        <v>7</v>
      </c>
      <c r="AB41" s="5"/>
      <c r="AC41" s="5"/>
      <c r="AD41" s="5">
        <v>28</v>
      </c>
    </row>
    <row r="42" spans="1:30" x14ac:dyDescent="0.3">
      <c r="A42" s="17">
        <v>3.1E-2</v>
      </c>
      <c r="B42" s="4"/>
      <c r="C42" t="s">
        <v>8</v>
      </c>
      <c r="D42">
        <f>A42*25.4</f>
        <v>0.78739999999999999</v>
      </c>
      <c r="E42" t="s">
        <v>155</v>
      </c>
      <c r="G42" t="s">
        <v>126</v>
      </c>
      <c r="H42" t="s">
        <v>128</v>
      </c>
      <c r="I42" s="3">
        <f>A58/0.164-1</f>
        <v>0.15853658536585358</v>
      </c>
      <c r="J42" t="s">
        <v>138</v>
      </c>
      <c r="Z42" s="6">
        <v>0.2</v>
      </c>
      <c r="AA42" s="5">
        <v>16</v>
      </c>
      <c r="AB42" s="5"/>
      <c r="AC42" s="5"/>
      <c r="AD42" s="5">
        <v>55</v>
      </c>
    </row>
    <row r="43" spans="1:30" x14ac:dyDescent="0.3">
      <c r="A43" s="17">
        <f>A30</f>
        <v>0.13900000000000001</v>
      </c>
      <c r="B43">
        <v>4.0000000000000001E-3</v>
      </c>
      <c r="G43" t="s">
        <v>226</v>
      </c>
      <c r="I43" s="3"/>
      <c r="Z43" s="6">
        <v>0.3</v>
      </c>
      <c r="AA43" s="5">
        <v>35</v>
      </c>
      <c r="AB43" s="5"/>
      <c r="AC43" s="5"/>
      <c r="AD43" s="5">
        <v>100</v>
      </c>
    </row>
    <row r="44" spans="1:30" x14ac:dyDescent="0.3">
      <c r="A44" s="17">
        <f>A30</f>
        <v>0.13900000000000001</v>
      </c>
      <c r="B44">
        <v>4.0000000000000001E-3</v>
      </c>
      <c r="G44" t="s">
        <v>227</v>
      </c>
      <c r="I44" s="3"/>
      <c r="Z44" s="6">
        <v>0.4</v>
      </c>
      <c r="AA44" s="5">
        <v>68</v>
      </c>
      <c r="AB44" s="5"/>
      <c r="AC44" s="5"/>
      <c r="AD44" s="5">
        <v>250</v>
      </c>
    </row>
    <row r="45" spans="1:30" x14ac:dyDescent="0.3">
      <c r="A45" s="47" t="s">
        <v>234</v>
      </c>
      <c r="B45" s="47"/>
      <c r="C45" s="47"/>
      <c r="D45" s="48" t="s">
        <v>235</v>
      </c>
      <c r="E45" s="48"/>
      <c r="F45" s="48"/>
      <c r="I45" s="3"/>
      <c r="Z45" s="6">
        <v>0.5</v>
      </c>
      <c r="AA45" s="7">
        <f>409.85*Z45^2+2.36*Z45</f>
        <v>103.64250000000001</v>
      </c>
      <c r="AB45" s="5"/>
      <c r="AC45" s="5"/>
      <c r="AD45" s="5">
        <f>1621*Z45^2-58.678*Z45</f>
        <v>375.911</v>
      </c>
    </row>
    <row r="46" spans="1:30" x14ac:dyDescent="0.3">
      <c r="A46" s="34" t="s">
        <v>233</v>
      </c>
      <c r="B46" s="33" t="s">
        <v>236</v>
      </c>
      <c r="C46" s="43" t="s">
        <v>237</v>
      </c>
      <c r="D46" s="34" t="s">
        <v>233</v>
      </c>
      <c r="E46" s="33" t="s">
        <v>236</v>
      </c>
      <c r="F46" s="33" t="s">
        <v>237</v>
      </c>
      <c r="I46" s="3"/>
    </row>
    <row r="47" spans="1:30" x14ac:dyDescent="0.3">
      <c r="A47" s="35">
        <v>0.1235</v>
      </c>
      <c r="B47" s="35">
        <v>0.1149</v>
      </c>
      <c r="C47" s="44">
        <v>0.1336</v>
      </c>
      <c r="D47" s="36">
        <v>9.5506272944186885E-2</v>
      </c>
      <c r="E47" s="36">
        <v>8.7462373673386343E-2</v>
      </c>
      <c r="F47" s="40">
        <v>0.10355346221189349</v>
      </c>
      <c r="G47" s="5" t="s">
        <v>228</v>
      </c>
      <c r="I47" s="3"/>
    </row>
    <row r="48" spans="1:30" x14ac:dyDescent="0.3">
      <c r="A48" s="37">
        <f>2*A60+A19+A25-A9-A47</f>
        <v>9.2499999999999971E-2</v>
      </c>
      <c r="B48" s="37">
        <f>2*$A60+$A19+$A25-$A9-0.012-B47</f>
        <v>8.9099999999999957E-2</v>
      </c>
      <c r="C48" s="45">
        <f>2*A60+A19+A25-A9+0.012-C47</f>
        <v>9.4399999999999984E-2</v>
      </c>
      <c r="D48" s="37">
        <f>2*$A60+$A19+$A25-$A9-D47</f>
        <v>0.12049372705581309</v>
      </c>
      <c r="E48" s="37">
        <f>2*$A60+$A19+$A25-$A9-0.012-E47</f>
        <v>0.11653762632661362</v>
      </c>
      <c r="F48" s="41">
        <f>2*$A60+$A19+$A25-$A9+0.012-F47</f>
        <v>0.12444653778810649</v>
      </c>
      <c r="G48" s="5" t="s">
        <v>229</v>
      </c>
      <c r="I48" s="3"/>
    </row>
    <row r="49" spans="1:24" x14ac:dyDescent="0.3">
      <c r="A49" s="37">
        <f>1-A47/A43</f>
        <v>0.11151079136690656</v>
      </c>
      <c r="B49" s="35">
        <f>1-B47/$A43</f>
        <v>0.17338129496402888</v>
      </c>
      <c r="C49" s="45">
        <f>1-C47/$A43</f>
        <v>3.8848920863309488E-2</v>
      </c>
      <c r="D49" s="38">
        <f>1-D47/$A43</f>
        <v>0.31290451119290019</v>
      </c>
      <c r="E49" s="38">
        <f>1-E47/$A43</f>
        <v>0.37077429011952279</v>
      </c>
      <c r="F49" s="41">
        <f>1-F47/$A43</f>
        <v>0.25501106322378797</v>
      </c>
      <c r="G49" s="5" t="s">
        <v>225</v>
      </c>
      <c r="I49" s="3"/>
    </row>
    <row r="50" spans="1:24" x14ac:dyDescent="0.3">
      <c r="A50" s="37">
        <f>1-A48/A44</f>
        <v>0.33453237410071968</v>
      </c>
      <c r="B50" s="35">
        <f>1-B48/$A44</f>
        <v>0.35899280575539605</v>
      </c>
      <c r="C50" s="45">
        <f>1-C48/$A44</f>
        <v>0.32086330935251817</v>
      </c>
      <c r="D50" s="37">
        <f t="shared" ref="D50:F50" si="1">1-D48/$A44</f>
        <v>0.13313865427472604</v>
      </c>
      <c r="E50" s="37">
        <f t="shared" si="1"/>
        <v>0.16159981059990214</v>
      </c>
      <c r="F50" s="41">
        <f t="shared" si="1"/>
        <v>0.10470116699203968</v>
      </c>
      <c r="G50" s="5" t="s">
        <v>230</v>
      </c>
      <c r="I50" s="3"/>
    </row>
    <row r="51" spans="1:24" x14ac:dyDescent="0.3">
      <c r="A51" s="37">
        <f>(185.23*A49^2-14.54*A49+239.8*A49^2+1.2051*A49)/2</f>
        <v>1.8990584195952627</v>
      </c>
      <c r="B51" s="37">
        <f t="shared" ref="B51:B52" si="2">(185.23*B49^2-14.54*B49+239.8*B49^2+1.2051*B49)/2</f>
        <v>5.2324179077169983</v>
      </c>
      <c r="C51" s="45">
        <f t="shared" ref="C51:F52" si="3">(185.23*C49^2-14.54*C49+239.8*C49^2+1.2051*C49)/2</f>
        <v>6.1712614771493521E-2</v>
      </c>
      <c r="D51" s="37">
        <f t="shared" si="3"/>
        <v>18.720905494378176</v>
      </c>
      <c r="E51" s="37">
        <f t="shared" si="3"/>
        <v>26.74307758335345</v>
      </c>
      <c r="F51" s="41">
        <f t="shared" si="3"/>
        <v>12.119713449030995</v>
      </c>
      <c r="G51" s="5" t="s">
        <v>242</v>
      </c>
      <c r="I51" s="3"/>
      <c r="J51">
        <f>PI()*(0.139^2-0.108^2)/(4*0.108)</f>
        <v>5.5683275343835797E-2</v>
      </c>
    </row>
    <row r="52" spans="1:24" x14ac:dyDescent="0.3">
      <c r="A52" s="37">
        <f>(185.23*A50^2-14.54*A50+239.8*A50^2+1.2051*A50)/2</f>
        <v>21.552481531753049</v>
      </c>
      <c r="B52" s="37">
        <f t="shared" si="2"/>
        <v>24.994481403912893</v>
      </c>
      <c r="C52" s="45">
        <f t="shared" si="3"/>
        <v>19.739772675844957</v>
      </c>
      <c r="D52" s="37">
        <f t="shared" ref="D52:F52" si="4">(588.97*D50^2+53.652*D50+1159.2*D50^2-5.1769*D50)/2</f>
        <v>18.720899194585979</v>
      </c>
      <c r="E52" s="37">
        <f t="shared" si="4"/>
        <v>26.743075160700251</v>
      </c>
      <c r="F52" s="41">
        <f t="shared" si="4"/>
        <v>12.119711807387931</v>
      </c>
      <c r="G52" s="5" t="s">
        <v>243</v>
      </c>
      <c r="J52">
        <f>2.749-J51/2-0.108/2</f>
        <v>2.6671583623280823</v>
      </c>
      <c r="M52">
        <v>30</v>
      </c>
    </row>
    <row r="53" spans="1:24" x14ac:dyDescent="0.3">
      <c r="A53" s="39">
        <f>A52-A51</f>
        <v>19.653423112157785</v>
      </c>
      <c r="B53" s="39">
        <f t="shared" ref="B53:C53" si="5">B52-B51</f>
        <v>19.762063496195893</v>
      </c>
      <c r="C53" s="46">
        <f t="shared" si="5"/>
        <v>19.678060061073463</v>
      </c>
      <c r="D53" s="39">
        <f t="shared" ref="D53" si="6">D52-D51</f>
        <v>-6.2997921972396398E-6</v>
      </c>
      <c r="E53" s="39">
        <f t="shared" ref="E53" si="7">E52-E51</f>
        <v>-2.4226531998294831E-6</v>
      </c>
      <c r="F53" s="42">
        <f t="shared" ref="F53" si="8">F52-F51</f>
        <v>-1.641643063265974E-6</v>
      </c>
      <c r="G53" s="5" t="s">
        <v>244</v>
      </c>
      <c r="H53">
        <f>A29*14.7/4</f>
        <v>19.694324999999999</v>
      </c>
      <c r="I53" s="9"/>
      <c r="J53">
        <f>2*J52</f>
        <v>5.3343167246561647</v>
      </c>
    </row>
    <row r="54" spans="1:24" x14ac:dyDescent="0.3">
      <c r="A54" s="37">
        <f>A47-A60</f>
        <v>3.5500000000000004E-2</v>
      </c>
      <c r="B54" s="37">
        <f>B47-$A60</f>
        <v>2.6900000000000007E-2</v>
      </c>
      <c r="C54" s="45">
        <f>C47-$A60</f>
        <v>4.5600000000000002E-2</v>
      </c>
      <c r="D54" s="37">
        <f t="shared" ref="D54:F54" si="9">D47-$A60</f>
        <v>7.5062729441868897E-3</v>
      </c>
      <c r="E54" s="38">
        <f t="shared" si="9"/>
        <v>-5.3762632661365217E-4</v>
      </c>
      <c r="F54" s="41">
        <f t="shared" si="9"/>
        <v>1.5553462211893493E-2</v>
      </c>
      <c r="G54" s="5" t="s">
        <v>231</v>
      </c>
      <c r="I54" s="3"/>
    </row>
    <row r="55" spans="1:24" x14ac:dyDescent="0.3">
      <c r="A55" s="37">
        <f>A48-A60</f>
        <v>4.4999999999999762E-3</v>
      </c>
      <c r="B55" s="37">
        <f>B48-$A60</f>
        <v>1.0999999999999621E-3</v>
      </c>
      <c r="C55" s="37">
        <f>C48-$A60</f>
        <v>6.399999999999989E-3</v>
      </c>
      <c r="D55" s="37">
        <f t="shared" ref="D55:F55" si="10">D48-$A60</f>
        <v>3.249372705581309E-2</v>
      </c>
      <c r="E55" s="37">
        <f t="shared" si="10"/>
        <v>2.8537626326613622E-2</v>
      </c>
      <c r="F55" s="38">
        <f t="shared" si="10"/>
        <v>3.6446537788106498E-2</v>
      </c>
      <c r="G55" s="5" t="s">
        <v>232</v>
      </c>
      <c r="I55" s="3"/>
    </row>
    <row r="56" spans="1:24" ht="15.6" x14ac:dyDescent="0.3">
      <c r="A56" s="4"/>
      <c r="B56" s="4"/>
      <c r="G56" s="13" t="s">
        <v>107</v>
      </c>
      <c r="M56">
        <f>0.18*60</f>
        <v>10.799999999999999</v>
      </c>
      <c r="O56">
        <f>PI()*(0.139^2-0.116^2)/(0.116*4)</f>
        <v>3.9710001968327906E-2</v>
      </c>
    </row>
    <row r="57" spans="1:24" x14ac:dyDescent="0.3">
      <c r="A57" s="17">
        <f>A29-0.15*A30</f>
        <v>5.3381499999999997</v>
      </c>
      <c r="B57">
        <v>1E-3</v>
      </c>
      <c r="G57" t="s">
        <v>108</v>
      </c>
      <c r="H57" t="s">
        <v>157</v>
      </c>
      <c r="M57">
        <f>0.86*60</f>
        <v>51.6</v>
      </c>
    </row>
    <row r="58" spans="1:24" ht="28.8" x14ac:dyDescent="0.3">
      <c r="A58" s="25">
        <v>0.19</v>
      </c>
      <c r="B58">
        <v>1E-3</v>
      </c>
      <c r="C58" t="s">
        <v>8</v>
      </c>
      <c r="G58" t="s">
        <v>109</v>
      </c>
      <c r="L58">
        <v>251</v>
      </c>
      <c r="U58" s="5" t="s">
        <v>149</v>
      </c>
      <c r="V58" s="21" t="s">
        <v>150</v>
      </c>
      <c r="W58" s="21" t="s">
        <v>151</v>
      </c>
      <c r="X58" s="21" t="s">
        <v>152</v>
      </c>
    </row>
    <row r="59" spans="1:24" x14ac:dyDescent="0.3">
      <c r="A59" s="18">
        <f>A57+2*A58</f>
        <v>5.7181499999999996</v>
      </c>
      <c r="G59" t="s">
        <v>129</v>
      </c>
      <c r="H59" s="12"/>
      <c r="J59">
        <f>(A57+A59)/2</f>
        <v>5.5281500000000001</v>
      </c>
      <c r="L59">
        <v>4</v>
      </c>
      <c r="U59" s="6">
        <v>0.15</v>
      </c>
      <c r="V59" s="22">
        <v>9.5999999999999991E-7</v>
      </c>
      <c r="W59" s="5">
        <f>0.76*V59</f>
        <v>7.2959999999999997E-7</v>
      </c>
      <c r="X59" s="5">
        <f>W59/2.74</f>
        <v>2.6627737226277368E-7</v>
      </c>
    </row>
    <row r="60" spans="1:24" x14ac:dyDescent="0.3">
      <c r="A60" s="26">
        <f>0.088</f>
        <v>8.7999999999999995E-2</v>
      </c>
      <c r="B60">
        <v>1E-3</v>
      </c>
      <c r="C60" t="s">
        <v>8</v>
      </c>
      <c r="G60" t="s">
        <v>110</v>
      </c>
      <c r="H60" t="s">
        <v>238</v>
      </c>
      <c r="J60">
        <f>J59/2</f>
        <v>2.7640750000000001</v>
      </c>
      <c r="L60">
        <f>L58/(L59+M52/60)</f>
        <v>55.777777777777779</v>
      </c>
      <c r="M60">
        <f>0.75+2*0.016</f>
        <v>0.78200000000000003</v>
      </c>
      <c r="U60" s="6">
        <v>0.3</v>
      </c>
      <c r="V60" s="22">
        <v>4.7999999999999996E-7</v>
      </c>
      <c r="W60" s="5">
        <f>0.76*V60</f>
        <v>3.6479999999999998E-7</v>
      </c>
      <c r="X60" s="5">
        <f>W60/2.74</f>
        <v>1.3313868613138684E-7</v>
      </c>
    </row>
    <row r="61" spans="1:24" x14ac:dyDescent="0.3">
      <c r="A61" s="23">
        <f>($A$58-$B$58)*MIN(A$47,A$48)</f>
        <v>1.7482499999999995E-2</v>
      </c>
      <c r="B61" s="23">
        <f t="shared" ref="B61:E61" si="11">($A$58-$B$58)*MIN(B$47,B$48)</f>
        <v>1.6839899999999991E-2</v>
      </c>
      <c r="C61" s="23">
        <f t="shared" si="11"/>
        <v>1.7841599999999996E-2</v>
      </c>
      <c r="D61" s="23">
        <f t="shared" si="11"/>
        <v>1.8050685586451322E-2</v>
      </c>
      <c r="E61" s="23">
        <f t="shared" si="11"/>
        <v>1.6530388624270018E-2</v>
      </c>
      <c r="F61" s="23">
        <f>($A$58-$B$58)*MIN(F$47,F$48)</f>
        <v>1.9571604358047869E-2</v>
      </c>
      <c r="G61" t="s">
        <v>194</v>
      </c>
      <c r="U61" s="6">
        <v>0.5</v>
      </c>
      <c r="V61" s="22">
        <v>2.6E-7</v>
      </c>
      <c r="W61" s="5">
        <f>0.76*V61</f>
        <v>1.976E-7</v>
      </c>
      <c r="X61" s="5">
        <f>W61/2.74</f>
        <v>7.2116788321167876E-8</v>
      </c>
    </row>
    <row r="62" spans="1:24" x14ac:dyDescent="0.3">
      <c r="A62" s="23">
        <f>($A$58+$B$58)*MAX(A$47,A$48)</f>
        <v>2.3588500000000002E-2</v>
      </c>
      <c r="B62" s="23">
        <f t="shared" ref="B62:E62" si="12">($A$58+$B$58)*MAX(B$47,B$48)</f>
        <v>2.1945900000000001E-2</v>
      </c>
      <c r="C62" s="23">
        <f t="shared" si="12"/>
        <v>2.5517600000000001E-2</v>
      </c>
      <c r="D62" s="23">
        <f t="shared" si="12"/>
        <v>2.3014301867660299E-2</v>
      </c>
      <c r="E62" s="23">
        <f t="shared" si="12"/>
        <v>2.2258686628383199E-2</v>
      </c>
      <c r="F62" s="23">
        <f>($A$58+$B$58)*MAX(F$47,F$48)</f>
        <v>2.3769288717528342E-2</v>
      </c>
      <c r="G62" t="s">
        <v>195</v>
      </c>
      <c r="L62">
        <f>L58/60</f>
        <v>4.1833333333333336</v>
      </c>
      <c r="T62" s="5" t="s">
        <v>145</v>
      </c>
      <c r="U62" s="6">
        <f>C85</f>
        <v>0.17985611510791405</v>
      </c>
      <c r="V62" s="5"/>
      <c r="W62" s="5"/>
      <c r="X62" s="5">
        <f>0.0000000349*U62^-1.08</f>
        <v>2.2259028311893428E-7</v>
      </c>
    </row>
    <row r="63" spans="1:24" x14ac:dyDescent="0.3">
      <c r="A63" s="3">
        <v>0.75</v>
      </c>
      <c r="C63" t="s">
        <v>7</v>
      </c>
      <c r="G63" t="s">
        <v>132</v>
      </c>
      <c r="H63" t="s">
        <v>134</v>
      </c>
      <c r="J63">
        <f>PI()*0.139^2/4</f>
        <v>1.5174677915002103E-2</v>
      </c>
      <c r="K63" t="s">
        <v>158</v>
      </c>
      <c r="T63" s="5" t="s">
        <v>146</v>
      </c>
      <c r="U63" s="6">
        <f>C86</f>
        <v>0.26618705035971263</v>
      </c>
      <c r="V63" s="5"/>
      <c r="W63" s="5"/>
      <c r="X63" s="5">
        <f>0.0000000349*U63^-1.08</f>
        <v>1.4575502935130715E-7</v>
      </c>
    </row>
    <row r="64" spans="1:24" x14ac:dyDescent="0.3">
      <c r="A64" s="27">
        <f>PI()*($A30-$B30)^2/4/A62</f>
        <v>0.60681609801040737</v>
      </c>
      <c r="B64" s="27">
        <f t="shared" ref="B64:F64" si="13">PI()*($A30-$B30)^2/4/B62</f>
        <v>0.65223488341414548</v>
      </c>
      <c r="C64" s="27">
        <f t="shared" si="13"/>
        <v>0.56094152772668648</v>
      </c>
      <c r="D64" s="27">
        <f t="shared" si="13"/>
        <v>0.62195593028317597</v>
      </c>
      <c r="E64" s="27">
        <f t="shared" si="13"/>
        <v>0.64306945719187791</v>
      </c>
      <c r="F64" s="28">
        <f t="shared" si="13"/>
        <v>0.60220066734108524</v>
      </c>
      <c r="G64" t="s">
        <v>130</v>
      </c>
      <c r="J64" s="16">
        <f>A87+A60</f>
        <v>0.10800000000000001</v>
      </c>
      <c r="K64" t="s">
        <v>159</v>
      </c>
    </row>
    <row r="65" spans="1:10" x14ac:dyDescent="0.3">
      <c r="A65" s="27">
        <f>PI()*($A30+$B30)^2/4/A61</f>
        <v>0.91866764154522684</v>
      </c>
      <c r="B65" s="27">
        <f t="shared" ref="B65:F65" si="14">PI()*($A30+$B30)^2/4/B61</f>
        <v>0.95372342135727828</v>
      </c>
      <c r="C65" s="27">
        <f t="shared" si="14"/>
        <v>0.90017750892937998</v>
      </c>
      <c r="D65" s="27">
        <f t="shared" si="14"/>
        <v>0.88975052866520299</v>
      </c>
      <c r="E65" s="28">
        <f t="shared" si="14"/>
        <v>0.97158072979204746</v>
      </c>
      <c r="F65" s="27">
        <f t="shared" si="14"/>
        <v>0.82060758788587918</v>
      </c>
      <c r="G65" t="s">
        <v>131</v>
      </c>
      <c r="J65">
        <f>J63/J64-PI()*J64/4</f>
        <v>5.5683275343835756E-2</v>
      </c>
    </row>
    <row r="66" spans="1:10" ht="15.6" x14ac:dyDescent="0.3">
      <c r="G66" s="13" t="s">
        <v>77</v>
      </c>
      <c r="J66">
        <f>0.139-0.072-0.018+0.018</f>
        <v>6.7000000000000018E-2</v>
      </c>
    </row>
    <row r="67" spans="1:10" x14ac:dyDescent="0.3">
      <c r="A67" t="s">
        <v>79</v>
      </c>
      <c r="G67" t="s">
        <v>78</v>
      </c>
      <c r="J67">
        <f>J66/(0.139+0.018)</f>
        <v>0.42675159235668803</v>
      </c>
    </row>
    <row r="68" spans="1:10" x14ac:dyDescent="0.3">
      <c r="A68">
        <v>5.99</v>
      </c>
      <c r="G68" t="s">
        <v>84</v>
      </c>
      <c r="J68">
        <f>52*40*12.55</f>
        <v>26104</v>
      </c>
    </row>
    <row r="69" spans="1:10" x14ac:dyDescent="0.3">
      <c r="A69">
        <f>5.38+0.05</f>
        <v>5.43</v>
      </c>
      <c r="C69" t="s">
        <v>8</v>
      </c>
      <c r="G69" t="s">
        <v>85</v>
      </c>
    </row>
    <row r="70" spans="1:10" x14ac:dyDescent="0.3">
      <c r="A70">
        <f>A68-A69</f>
        <v>0.5600000000000005</v>
      </c>
      <c r="C70" t="s">
        <v>8</v>
      </c>
      <c r="G70" t="s">
        <v>80</v>
      </c>
    </row>
    <row r="71" spans="1:10" x14ac:dyDescent="0.3">
      <c r="A71">
        <f>(A68+A69)/2</f>
        <v>5.71</v>
      </c>
      <c r="C71" t="s">
        <v>8</v>
      </c>
      <c r="G71" t="s">
        <v>86</v>
      </c>
      <c r="H71" t="s">
        <v>88</v>
      </c>
    </row>
    <row r="72" spans="1:10" x14ac:dyDescent="0.3">
      <c r="A72" s="16">
        <v>0.125</v>
      </c>
      <c r="B72">
        <v>1E-3</v>
      </c>
      <c r="C72" t="s">
        <v>8</v>
      </c>
      <c r="G72" t="s">
        <v>83</v>
      </c>
    </row>
    <row r="73" spans="1:10" x14ac:dyDescent="0.3">
      <c r="A73" s="8">
        <v>500000</v>
      </c>
      <c r="C73" t="s">
        <v>22</v>
      </c>
      <c r="G73" t="s">
        <v>81</v>
      </c>
    </row>
    <row r="74" spans="1:10" x14ac:dyDescent="0.3">
      <c r="A74" s="8">
        <f>A72*A39/(PI()*((A69/2+A70)^2-(A69/2)^2))/A73</f>
        <v>3.1558070083174309E-5</v>
      </c>
      <c r="C74" t="s">
        <v>8</v>
      </c>
      <c r="G74" t="s">
        <v>82</v>
      </c>
    </row>
    <row r="75" spans="1:10" ht="15.6" x14ac:dyDescent="0.3">
      <c r="A75" s="8"/>
      <c r="G75" s="13" t="s">
        <v>99</v>
      </c>
    </row>
    <row r="76" spans="1:10" x14ac:dyDescent="0.3">
      <c r="A76" s="16"/>
      <c r="B76" s="16">
        <f>B19</f>
        <v>1E-3</v>
      </c>
      <c r="C76" t="s">
        <v>8</v>
      </c>
      <c r="G76" t="s">
        <v>100</v>
      </c>
    </row>
    <row r="77" spans="1:10" x14ac:dyDescent="0.3">
      <c r="A77" s="16"/>
      <c r="B77" s="16">
        <f>B25</f>
        <v>1E-3</v>
      </c>
      <c r="C77" t="s">
        <v>8</v>
      </c>
      <c r="G77" t="s">
        <v>101</v>
      </c>
    </row>
    <row r="78" spans="1:10" x14ac:dyDescent="0.3">
      <c r="A78" s="16"/>
      <c r="B78" s="16">
        <f>B60</f>
        <v>1E-3</v>
      </c>
      <c r="C78" t="s">
        <v>8</v>
      </c>
      <c r="G78" t="s">
        <v>102</v>
      </c>
    </row>
    <row r="79" spans="1:10" x14ac:dyDescent="0.3">
      <c r="A79" s="16"/>
      <c r="B79" s="16">
        <f>B72</f>
        <v>1E-3</v>
      </c>
      <c r="C79" t="s">
        <v>8</v>
      </c>
      <c r="G79" t="s">
        <v>103</v>
      </c>
    </row>
    <row r="80" spans="1:10" x14ac:dyDescent="0.3">
      <c r="A80" s="16"/>
      <c r="B80" s="16">
        <f>A74</f>
        <v>3.1558070083174309E-5</v>
      </c>
      <c r="C80" t="s">
        <v>8</v>
      </c>
      <c r="G80" t="s">
        <v>117</v>
      </c>
    </row>
    <row r="81" spans="1:9" x14ac:dyDescent="0.3">
      <c r="A81" s="16"/>
      <c r="B81" s="16">
        <f>B30</f>
        <v>4.0000000000000001E-3</v>
      </c>
      <c r="C81" t="s">
        <v>8</v>
      </c>
      <c r="G81" t="s">
        <v>127</v>
      </c>
    </row>
    <row r="82" spans="1:9" x14ac:dyDescent="0.3">
      <c r="A82" s="16"/>
      <c r="B82" s="16">
        <f>B9</f>
        <v>0.01</v>
      </c>
      <c r="C82" t="s">
        <v>8</v>
      </c>
      <c r="G82" t="s">
        <v>104</v>
      </c>
    </row>
    <row r="83" spans="1:9" x14ac:dyDescent="0.3">
      <c r="A83" s="16"/>
      <c r="B83" s="16">
        <f>SUM(B76:B82)</f>
        <v>1.8031558070083175E-2</v>
      </c>
      <c r="C83" t="s">
        <v>8</v>
      </c>
      <c r="G83" t="s">
        <v>105</v>
      </c>
    </row>
    <row r="84" spans="1:9" x14ac:dyDescent="0.3">
      <c r="A84" s="17">
        <f>A30-A60-A87</f>
        <v>3.1E-2</v>
      </c>
      <c r="B84" s="16"/>
      <c r="C84" s="19">
        <f>A84/A30</f>
        <v>0.22302158273381292</v>
      </c>
      <c r="G84" t="s">
        <v>135</v>
      </c>
      <c r="I84" s="17">
        <f>A30-A84</f>
        <v>0.10800000000000001</v>
      </c>
    </row>
    <row r="85" spans="1:9" x14ac:dyDescent="0.3">
      <c r="A85" s="17">
        <f>A30-A60-A88</f>
        <v>2.5000000000000053E-2</v>
      </c>
      <c r="B85" s="16"/>
      <c r="C85" s="19">
        <f>A85/A30</f>
        <v>0.17985611510791405</v>
      </c>
      <c r="G85" t="s">
        <v>136</v>
      </c>
    </row>
    <row r="86" spans="1:9" x14ac:dyDescent="0.3">
      <c r="A86" s="16">
        <f>A30-A60-A89</f>
        <v>3.7000000000000061E-2</v>
      </c>
      <c r="B86" s="16"/>
      <c r="C86" s="19">
        <f>A86/A30</f>
        <v>0.26618705035971263</v>
      </c>
      <c r="G86" t="s">
        <v>137</v>
      </c>
    </row>
    <row r="87" spans="1:9" x14ac:dyDescent="0.3">
      <c r="A87" s="16">
        <f>(A19+A25-A9)/2</f>
        <v>2.0000000000000018E-2</v>
      </c>
      <c r="C87" t="s">
        <v>8</v>
      </c>
      <c r="G87" t="s">
        <v>124</v>
      </c>
    </row>
    <row r="88" spans="1:9" x14ac:dyDescent="0.3">
      <c r="A88" s="16">
        <f>(A19+B19+A25+B25-A9+B9)/2</f>
        <v>2.5999999999999964E-2</v>
      </c>
      <c r="B88" s="16"/>
      <c r="C88" t="s">
        <v>8</v>
      </c>
      <c r="G88" t="s">
        <v>125</v>
      </c>
    </row>
    <row r="89" spans="1:9" x14ac:dyDescent="0.3">
      <c r="A89" s="17">
        <f>(A19-B19+A25-B25-A9-B9)/2</f>
        <v>1.399999999999996E-2</v>
      </c>
      <c r="C89" t="s">
        <v>8</v>
      </c>
      <c r="G89" t="s">
        <v>106</v>
      </c>
    </row>
    <row r="90" spans="1:9" ht="15.6" x14ac:dyDescent="0.3">
      <c r="G90" s="13" t="s">
        <v>69</v>
      </c>
    </row>
    <row r="91" spans="1:9" x14ac:dyDescent="0.3">
      <c r="A91">
        <v>6</v>
      </c>
      <c r="G91" t="s">
        <v>70</v>
      </c>
    </row>
    <row r="92" spans="1:9" x14ac:dyDescent="0.3">
      <c r="A92" s="15" t="s">
        <v>98</v>
      </c>
      <c r="G92" t="s">
        <v>73</v>
      </c>
    </row>
    <row r="93" spans="1:9" x14ac:dyDescent="0.3">
      <c r="A93">
        <f>5/16</f>
        <v>0.3125</v>
      </c>
      <c r="C93" t="s">
        <v>8</v>
      </c>
      <c r="G93" t="s">
        <v>71</v>
      </c>
    </row>
    <row r="94" spans="1:9" x14ac:dyDescent="0.3">
      <c r="A94">
        <v>0.26140000000000002</v>
      </c>
      <c r="C94" t="s">
        <v>8</v>
      </c>
      <c r="G94" t="s">
        <v>72</v>
      </c>
    </row>
    <row r="95" spans="1:9" x14ac:dyDescent="0.3">
      <c r="A95">
        <f>PI()*A94^2/4</f>
        <v>5.3666225089021115E-2</v>
      </c>
      <c r="C95" t="s">
        <v>92</v>
      </c>
      <c r="G95" t="s">
        <v>89</v>
      </c>
    </row>
    <row r="96" spans="1:9" x14ac:dyDescent="0.3">
      <c r="A96" s="4">
        <f>A39/A91</f>
        <v>221.70929416432023</v>
      </c>
      <c r="C96" t="s">
        <v>35</v>
      </c>
      <c r="G96" t="s">
        <v>90</v>
      </c>
    </row>
    <row r="97" spans="1:8" x14ac:dyDescent="0.3">
      <c r="A97">
        <f>A96/A95</f>
        <v>4131.2630764796777</v>
      </c>
      <c r="C97" t="s">
        <v>22</v>
      </c>
      <c r="G97" t="s">
        <v>91</v>
      </c>
    </row>
    <row r="98" spans="1:8" x14ac:dyDescent="0.3">
      <c r="A98">
        <v>5510</v>
      </c>
      <c r="C98" t="s">
        <v>35</v>
      </c>
      <c r="G98" t="s">
        <v>93</v>
      </c>
      <c r="H98" t="s">
        <v>94</v>
      </c>
    </row>
    <row r="99" spans="1:8" x14ac:dyDescent="0.3">
      <c r="A99">
        <v>30000</v>
      </c>
      <c r="C99" t="s">
        <v>22</v>
      </c>
      <c r="G99" t="s">
        <v>95</v>
      </c>
      <c r="H99" t="s">
        <v>94</v>
      </c>
    </row>
    <row r="100" spans="1:8" x14ac:dyDescent="0.3">
      <c r="A100">
        <v>95000</v>
      </c>
      <c r="C100" t="s">
        <v>22</v>
      </c>
      <c r="G100" t="s">
        <v>96</v>
      </c>
      <c r="H100" t="s">
        <v>94</v>
      </c>
    </row>
    <row r="101" spans="1:8" x14ac:dyDescent="0.3">
      <c r="A101">
        <v>190</v>
      </c>
      <c r="C101" t="s">
        <v>47</v>
      </c>
      <c r="G101" t="s">
        <v>97</v>
      </c>
      <c r="H101" t="s">
        <v>94</v>
      </c>
    </row>
    <row r="103" spans="1:8" x14ac:dyDescent="0.3">
      <c r="A103">
        <f>A107*PI()*A5^2/4</f>
        <v>415.63270806992961</v>
      </c>
      <c r="C103" t="s">
        <v>35</v>
      </c>
      <c r="G103" t="s">
        <v>33</v>
      </c>
    </row>
    <row r="106" spans="1:8" ht="43.2" x14ac:dyDescent="0.3">
      <c r="A106">
        <f>(0.8*0.233+0.2*1.7)*0.00000001</f>
        <v>5.264E-9</v>
      </c>
      <c r="C106" s="11" t="s">
        <v>20</v>
      </c>
      <c r="D106" s="11"/>
      <c r="E106" s="11"/>
      <c r="F106" s="11"/>
      <c r="G106" t="s">
        <v>27</v>
      </c>
    </row>
    <row r="107" spans="1:8" x14ac:dyDescent="0.3">
      <c r="A107">
        <v>14.7</v>
      </c>
      <c r="C107" t="s">
        <v>22</v>
      </c>
      <c r="G107" t="s">
        <v>48</v>
      </c>
    </row>
    <row r="108" spans="1:8" x14ac:dyDescent="0.3">
      <c r="A108">
        <v>1</v>
      </c>
      <c r="C108" t="s">
        <v>7</v>
      </c>
      <c r="G108" t="s">
        <v>23</v>
      </c>
    </row>
    <row r="109" spans="1:8" x14ac:dyDescent="0.3">
      <c r="A109" s="3">
        <v>0.5</v>
      </c>
      <c r="C109" t="s">
        <v>7</v>
      </c>
      <c r="G109" t="s">
        <v>24</v>
      </c>
    </row>
    <row r="110" spans="1:8" x14ac:dyDescent="0.3">
      <c r="A110">
        <f>0.7*A106*A29*A107*A108*(1-A109)^2</f>
        <v>7.2569648759999995E-8</v>
      </c>
      <c r="C110" t="s">
        <v>19</v>
      </c>
      <c r="G110" t="s">
        <v>26</v>
      </c>
    </row>
    <row r="111" spans="1:8" x14ac:dyDescent="0.3">
      <c r="C111" t="s">
        <v>28</v>
      </c>
      <c r="G111" t="s">
        <v>25</v>
      </c>
    </row>
    <row r="114" spans="1:8" x14ac:dyDescent="0.3">
      <c r="C114" s="1" t="s">
        <v>39</v>
      </c>
      <c r="D114" s="1"/>
      <c r="E114" s="1"/>
      <c r="F114" s="1"/>
      <c r="G114" t="s">
        <v>40</v>
      </c>
    </row>
    <row r="115" spans="1:8" x14ac:dyDescent="0.3">
      <c r="G115" t="s">
        <v>41</v>
      </c>
    </row>
    <row r="116" spans="1:8" x14ac:dyDescent="0.3">
      <c r="G116" t="s">
        <v>51</v>
      </c>
    </row>
    <row r="117" spans="1:8" x14ac:dyDescent="0.3">
      <c r="A117">
        <v>2.7360000000000002</v>
      </c>
      <c r="C117" t="s">
        <v>8</v>
      </c>
      <c r="G117" t="s">
        <v>42</v>
      </c>
      <c r="H117">
        <f>2.736+0.099/2</f>
        <v>2.7855000000000003</v>
      </c>
    </row>
    <row r="118" spans="1:8" x14ac:dyDescent="0.3">
      <c r="A118">
        <f>A11*A9^3/(12*(1-A12^2))</f>
        <v>386051.7436273963</v>
      </c>
      <c r="C118" t="s">
        <v>47</v>
      </c>
      <c r="G118" t="s">
        <v>43</v>
      </c>
      <c r="H118">
        <f>(A29+A30)/2</f>
        <v>2.7490000000000001</v>
      </c>
    </row>
    <row r="119" spans="1:8" x14ac:dyDescent="0.3">
      <c r="A119">
        <f>1/64</f>
        <v>1.5625E-2</v>
      </c>
      <c r="C119" t="s">
        <v>7</v>
      </c>
      <c r="G119" t="s">
        <v>49</v>
      </c>
    </row>
    <row r="120" spans="1:8" x14ac:dyDescent="0.3">
      <c r="A120">
        <f>(1-(1-A12)/4)/4</f>
        <v>0.19793749999999999</v>
      </c>
      <c r="C120" t="s">
        <v>7</v>
      </c>
      <c r="G120" t="s">
        <v>50</v>
      </c>
    </row>
    <row r="121" spans="1:8" x14ac:dyDescent="0.3">
      <c r="A121">
        <f>(-A107*A117^4)*(5+A12)/(64*A118*(1+A12))</f>
        <v>-1.4761273266591425E-4</v>
      </c>
      <c r="C121" t="s">
        <v>8</v>
      </c>
      <c r="G121" t="s">
        <v>52</v>
      </c>
    </row>
    <row r="122" spans="1:8" x14ac:dyDescent="0.3">
      <c r="A122">
        <f>A107*A117^2*(3+A12)/16</f>
        <v>21.780989294400001</v>
      </c>
      <c r="C122" t="s">
        <v>53</v>
      </c>
      <c r="G122" t="s">
        <v>54</v>
      </c>
    </row>
    <row r="123" spans="1:8" x14ac:dyDescent="0.3">
      <c r="A123">
        <f>6*A122/A9^2</f>
        <v>232.33055247360002</v>
      </c>
      <c r="C123" t="s">
        <v>22</v>
      </c>
      <c r="D123" s="8">
        <f>A123*6894.75729</f>
        <v>1601862.7703570812</v>
      </c>
      <c r="E123" t="s">
        <v>55</v>
      </c>
      <c r="G123" t="s">
        <v>56</v>
      </c>
    </row>
    <row r="124" spans="1:8" x14ac:dyDescent="0.3">
      <c r="A124" s="10">
        <v>3</v>
      </c>
      <c r="B124" s="10"/>
      <c r="C124" t="s">
        <v>7</v>
      </c>
      <c r="G124" t="s">
        <v>58</v>
      </c>
    </row>
    <row r="125" spans="1:8" x14ac:dyDescent="0.3">
      <c r="A125" s="10">
        <f>A13/A123/3-1</f>
        <v>9.4045533581827332</v>
      </c>
      <c r="B125" s="10"/>
      <c r="C125" t="s">
        <v>7</v>
      </c>
      <c r="G125" t="s">
        <v>57</v>
      </c>
    </row>
    <row r="126" spans="1:8" x14ac:dyDescent="0.3">
      <c r="A126" s="8"/>
      <c r="B126" s="8"/>
    </row>
    <row r="128" spans="1:8" x14ac:dyDescent="0.3">
      <c r="C128" t="s">
        <v>11</v>
      </c>
    </row>
    <row r="129" spans="3:3" x14ac:dyDescent="0.3">
      <c r="C129" t="s">
        <v>12</v>
      </c>
    </row>
    <row r="130" spans="3:3" x14ac:dyDescent="0.3">
      <c r="C130" t="s">
        <v>13</v>
      </c>
    </row>
    <row r="131" spans="3:3" x14ac:dyDescent="0.3">
      <c r="C131" t="s">
        <v>14</v>
      </c>
    </row>
    <row r="132" spans="3:3" x14ac:dyDescent="0.3">
      <c r="C132" t="s">
        <v>15</v>
      </c>
    </row>
    <row r="133" spans="3:3" x14ac:dyDescent="0.3">
      <c r="C133" t="s">
        <v>16</v>
      </c>
    </row>
    <row r="134" spans="3:3" x14ac:dyDescent="0.3">
      <c r="C134" t="s">
        <v>17</v>
      </c>
    </row>
    <row r="135" spans="3:3" x14ac:dyDescent="0.3">
      <c r="C135" t="s">
        <v>18</v>
      </c>
    </row>
    <row r="136" spans="3:3" x14ac:dyDescent="0.3">
      <c r="C136" t="s">
        <v>29</v>
      </c>
    </row>
    <row r="137" spans="3:3" x14ac:dyDescent="0.3">
      <c r="C137" t="s">
        <v>30</v>
      </c>
    </row>
    <row r="150" spans="9:11" x14ac:dyDescent="0.3">
      <c r="K150">
        <f>0.158+I151*(0.164-0.158)</f>
        <v>0.16183132530120484</v>
      </c>
    </row>
    <row r="151" spans="9:11" x14ac:dyDescent="0.3">
      <c r="I151">
        <f>(254-201)/(284-201)</f>
        <v>0.63855421686746983</v>
      </c>
      <c r="J151">
        <f>0.101+I151*0.006</f>
        <v>0.10483132530120483</v>
      </c>
    </row>
    <row r="169" spans="9:11" x14ac:dyDescent="0.3">
      <c r="K169">
        <f>TAN(RADIANS(5/60))*6</f>
        <v>8.7266524134223793E-3</v>
      </c>
    </row>
    <row r="170" spans="9:11" x14ac:dyDescent="0.3">
      <c r="I170">
        <f>5/16</f>
        <v>0.3125</v>
      </c>
    </row>
    <row r="171" spans="9:11" x14ac:dyDescent="0.3">
      <c r="I171">
        <f>I170*25.4</f>
        <v>7.9375</v>
      </c>
    </row>
    <row r="173" spans="9:11" x14ac:dyDescent="0.3">
      <c r="I173">
        <f>360/8</f>
        <v>45</v>
      </c>
    </row>
    <row r="174" spans="9:11" x14ac:dyDescent="0.3">
      <c r="K174">
        <f>I175/25.4</f>
        <v>0.14173228346456693</v>
      </c>
    </row>
    <row r="175" spans="9:11" x14ac:dyDescent="0.3">
      <c r="I175">
        <v>3.6</v>
      </c>
      <c r="J175" t="s">
        <v>154</v>
      </c>
      <c r="K175">
        <f>I176/25.4</f>
        <v>0.23622047244094491</v>
      </c>
    </row>
    <row r="176" spans="9:11" x14ac:dyDescent="0.3">
      <c r="I176">
        <v>6</v>
      </c>
      <c r="J176" t="s">
        <v>153</v>
      </c>
      <c r="K176">
        <f>I177/25.4</f>
        <v>0.55118110236220474</v>
      </c>
    </row>
    <row r="177" spans="9:9" x14ac:dyDescent="0.3">
      <c r="I177">
        <v>14</v>
      </c>
    </row>
  </sheetData>
  <mergeCells count="2">
    <mergeCell ref="A45:C45"/>
    <mergeCell ref="D45:F4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topLeftCell="A10" workbookViewId="0">
      <selection activeCell="H44" sqref="H44"/>
    </sheetView>
  </sheetViews>
  <sheetFormatPr defaultRowHeight="14.4" x14ac:dyDescent="0.3"/>
  <cols>
    <col min="8" max="8" width="63.6640625" customWidth="1"/>
    <col min="10" max="10" width="12.6640625" bestFit="1" customWidth="1"/>
  </cols>
  <sheetData>
    <row r="1" spans="1:8" x14ac:dyDescent="0.3">
      <c r="A1" s="1" t="s">
        <v>197</v>
      </c>
    </row>
    <row r="3" spans="1:8" x14ac:dyDescent="0.3">
      <c r="A3" t="s">
        <v>164</v>
      </c>
    </row>
    <row r="4" spans="1:8" x14ac:dyDescent="0.3">
      <c r="A4" t="s">
        <v>190</v>
      </c>
    </row>
    <row r="5" spans="1:8" x14ac:dyDescent="0.3">
      <c r="A5" t="s">
        <v>161</v>
      </c>
    </row>
    <row r="6" spans="1:8" x14ac:dyDescent="0.3">
      <c r="A6" t="s">
        <v>162</v>
      </c>
    </row>
    <row r="7" spans="1:8" x14ac:dyDescent="0.3">
      <c r="A7" t="s">
        <v>163</v>
      </c>
    </row>
    <row r="9" spans="1:8" x14ac:dyDescent="0.3">
      <c r="A9" s="1" t="s">
        <v>1</v>
      </c>
      <c r="B9" s="14" t="s">
        <v>63</v>
      </c>
      <c r="C9" s="1" t="s">
        <v>2</v>
      </c>
      <c r="D9" s="1" t="s">
        <v>1</v>
      </c>
      <c r="E9" s="14" t="s">
        <v>63</v>
      </c>
      <c r="F9" s="1" t="s">
        <v>2</v>
      </c>
      <c r="G9" s="1" t="s">
        <v>167</v>
      </c>
      <c r="H9" s="1" t="s">
        <v>3</v>
      </c>
    </row>
    <row r="10" spans="1:8" x14ac:dyDescent="0.3">
      <c r="A10">
        <v>5.359</v>
      </c>
      <c r="B10">
        <v>3.5000000000000003E-2</v>
      </c>
      <c r="C10" t="s">
        <v>8</v>
      </c>
      <c r="F10" t="s">
        <v>155</v>
      </c>
      <c r="G10" t="s">
        <v>182</v>
      </c>
      <c r="H10" t="s">
        <v>166</v>
      </c>
    </row>
    <row r="11" spans="1:8" x14ac:dyDescent="0.3">
      <c r="A11">
        <f>A10+A14</f>
        <v>5.4980000000000002</v>
      </c>
      <c r="G11" t="s">
        <v>183</v>
      </c>
      <c r="H11" t="s">
        <v>179</v>
      </c>
    </row>
    <row r="12" spans="1:8" x14ac:dyDescent="0.3">
      <c r="A12">
        <f>A10-B10+A14-B14</f>
        <v>5.4590000000000005</v>
      </c>
      <c r="H12" t="s">
        <v>180</v>
      </c>
    </row>
    <row r="13" spans="1:8" x14ac:dyDescent="0.3">
      <c r="A13">
        <f>A10+B10+A14+B14</f>
        <v>5.5369999999999999</v>
      </c>
      <c r="H13" t="s">
        <v>181</v>
      </c>
    </row>
    <row r="14" spans="1:8" x14ac:dyDescent="0.3">
      <c r="A14">
        <v>0.13900000000000001</v>
      </c>
      <c r="B14">
        <v>4.0000000000000001E-3</v>
      </c>
      <c r="C14" t="s">
        <v>8</v>
      </c>
      <c r="F14" t="s">
        <v>155</v>
      </c>
      <c r="G14" t="s">
        <v>165</v>
      </c>
      <c r="H14" t="s">
        <v>184</v>
      </c>
    </row>
    <row r="15" spans="1:8" x14ac:dyDescent="0.3">
      <c r="A15">
        <f>A14-B14</f>
        <v>0.13500000000000001</v>
      </c>
      <c r="H15" t="s">
        <v>185</v>
      </c>
    </row>
    <row r="16" spans="1:8" x14ac:dyDescent="0.3">
      <c r="A16">
        <f>A14+B14</f>
        <v>0.14300000000000002</v>
      </c>
      <c r="H16" t="s">
        <v>186</v>
      </c>
    </row>
    <row r="17" spans="1:10" x14ac:dyDescent="0.3">
      <c r="A17">
        <f>PI()*A14^2/4</f>
        <v>1.5174677915002103E-2</v>
      </c>
      <c r="C17" t="s">
        <v>92</v>
      </c>
      <c r="F17" t="s">
        <v>174</v>
      </c>
      <c r="G17" t="s">
        <v>170</v>
      </c>
      <c r="H17" t="s">
        <v>171</v>
      </c>
    </row>
    <row r="18" spans="1:10" x14ac:dyDescent="0.3">
      <c r="A18">
        <f>A17*PI()*A11</f>
        <v>0.26210426630767364</v>
      </c>
      <c r="C18" t="s">
        <v>173</v>
      </c>
      <c r="F18" t="s">
        <v>175</v>
      </c>
      <c r="G18" t="s">
        <v>172</v>
      </c>
      <c r="H18" t="s">
        <v>176</v>
      </c>
    </row>
    <row r="19" spans="1:10" x14ac:dyDescent="0.3">
      <c r="A19">
        <f>2*PI()^2*A12*A15^2/8</f>
        <v>0.2454824140013977</v>
      </c>
      <c r="H19" t="s">
        <v>177</v>
      </c>
    </row>
    <row r="20" spans="1:10" x14ac:dyDescent="0.3">
      <c r="A20">
        <f>2*PI()^2*A13*A16^2/8</f>
        <v>0.27937423579576032</v>
      </c>
      <c r="H20" t="s">
        <v>178</v>
      </c>
    </row>
    <row r="22" spans="1:10" x14ac:dyDescent="0.3">
      <c r="B22" t="s">
        <v>191</v>
      </c>
    </row>
    <row r="23" spans="1:10" x14ac:dyDescent="0.3">
      <c r="A23">
        <f>A10</f>
        <v>5.359</v>
      </c>
      <c r="C23" t="s">
        <v>8</v>
      </c>
      <c r="F23" t="s">
        <v>155</v>
      </c>
      <c r="G23" t="s">
        <v>168</v>
      </c>
      <c r="H23" t="s">
        <v>169</v>
      </c>
    </row>
    <row r="24" spans="1:10" x14ac:dyDescent="0.3">
      <c r="A24">
        <v>0.13457414531678524</v>
      </c>
      <c r="C24" t="s">
        <v>8</v>
      </c>
      <c r="F24" t="s">
        <v>155</v>
      </c>
      <c r="G24" t="s">
        <v>187</v>
      </c>
      <c r="H24" t="s">
        <v>188</v>
      </c>
      <c r="J24">
        <f>A24^3+A$23*A24^2-A12*A15^2</f>
        <v>-5.4528467294256977E-7</v>
      </c>
    </row>
    <row r="25" spans="1:10" x14ac:dyDescent="0.3">
      <c r="A25">
        <f>A15-A24</f>
        <v>4.2585468321476583E-4</v>
      </c>
      <c r="C25" t="s">
        <v>8</v>
      </c>
      <c r="F25" t="s">
        <v>155</v>
      </c>
      <c r="H25" t="s">
        <v>189</v>
      </c>
    </row>
    <row r="27" spans="1:10" x14ac:dyDescent="0.3">
      <c r="B27" t="s">
        <v>192</v>
      </c>
    </row>
    <row r="28" spans="1:10" x14ac:dyDescent="0.3">
      <c r="A28">
        <f>A10-0.15*A14</f>
        <v>5.3381499999999997</v>
      </c>
      <c r="C28" t="s">
        <v>8</v>
      </c>
      <c r="F28" t="s">
        <v>155</v>
      </c>
      <c r="G28" t="s">
        <v>168</v>
      </c>
      <c r="H28" t="s">
        <v>169</v>
      </c>
    </row>
    <row r="29" spans="1:10" x14ac:dyDescent="0.3">
      <c r="A29">
        <v>0.13482706413584084</v>
      </c>
      <c r="C29" t="s">
        <v>8</v>
      </c>
      <c r="F29" t="s">
        <v>155</v>
      </c>
      <c r="G29" t="s">
        <v>187</v>
      </c>
      <c r="H29" t="s">
        <v>188</v>
      </c>
      <c r="J29">
        <f>A29^3+A28*A29^2-A12*A15^2</f>
        <v>-6.5231171168800284E-7</v>
      </c>
    </row>
    <row r="30" spans="1:10" x14ac:dyDescent="0.3">
      <c r="A30">
        <f>A15-A29</f>
        <v>1.7293586415917384E-4</v>
      </c>
      <c r="C30" t="s">
        <v>8</v>
      </c>
      <c r="F30" t="s">
        <v>155</v>
      </c>
      <c r="H30" t="s">
        <v>193</v>
      </c>
    </row>
    <row r="32" spans="1:10" x14ac:dyDescent="0.3">
      <c r="A32" s="1" t="s">
        <v>196</v>
      </c>
    </row>
    <row r="33" spans="1:8" x14ac:dyDescent="0.3">
      <c r="A33" t="s">
        <v>198</v>
      </c>
    </row>
    <row r="34" spans="1:8" x14ac:dyDescent="0.3">
      <c r="B34" t="s">
        <v>191</v>
      </c>
    </row>
    <row r="35" spans="1:8" x14ac:dyDescent="0.3">
      <c r="A35" s="24">
        <v>0.72360000000000002</v>
      </c>
      <c r="G35" t="s">
        <v>199</v>
      </c>
      <c r="H35" t="s">
        <v>207</v>
      </c>
    </row>
    <row r="36" spans="1:8" x14ac:dyDescent="0.3">
      <c r="A36" s="16">
        <f>'SLC - 6in no wedge #2-253'!A87</f>
        <v>2.0000000000000018E-2</v>
      </c>
      <c r="C36" t="s">
        <v>8</v>
      </c>
      <c r="G36" t="s">
        <v>203</v>
      </c>
      <c r="H36" t="s">
        <v>202</v>
      </c>
    </row>
    <row r="37" spans="1:8" x14ac:dyDescent="0.3">
      <c r="A37" s="16">
        <f>'SLC - 6in no wedge #2-253'!A60</f>
        <v>8.7999999999999995E-2</v>
      </c>
      <c r="C37" t="s">
        <v>8</v>
      </c>
      <c r="G37" t="s">
        <v>158</v>
      </c>
      <c r="H37" t="s">
        <v>110</v>
      </c>
    </row>
    <row r="38" spans="1:8" x14ac:dyDescent="0.3">
      <c r="A38" s="16">
        <f>PI()*A14^2/(4*A35*(A36+A37))</f>
        <v>0.19417672331503619</v>
      </c>
      <c r="C38" t="s">
        <v>8</v>
      </c>
      <c r="G38" t="s">
        <v>204</v>
      </c>
      <c r="H38" t="s">
        <v>109</v>
      </c>
    </row>
    <row r="39" spans="1:8" x14ac:dyDescent="0.3">
      <c r="A39" s="16">
        <f>A38*(A36+A37)</f>
        <v>2.097108611802391E-2</v>
      </c>
      <c r="C39" t="s">
        <v>92</v>
      </c>
      <c r="G39" t="s">
        <v>205</v>
      </c>
      <c r="H39" t="s">
        <v>201</v>
      </c>
    </row>
    <row r="40" spans="1:8" x14ac:dyDescent="0.3">
      <c r="A40" s="16">
        <f>2*PI()^2*A11*A14^2/8</f>
        <v>0.26210426630767364</v>
      </c>
      <c r="C40" t="s">
        <v>173</v>
      </c>
      <c r="G40" t="s">
        <v>172</v>
      </c>
    </row>
    <row r="41" spans="1:8" x14ac:dyDescent="0.3">
      <c r="A41" s="16">
        <f>PI()*((A23+2*A38)^2-A23^2)/4*(A36+A37)</f>
        <v>0.36585777680183074</v>
      </c>
      <c r="C41" t="s">
        <v>173</v>
      </c>
      <c r="G41" t="s">
        <v>200</v>
      </c>
    </row>
    <row r="42" spans="1:8" x14ac:dyDescent="0.3">
      <c r="A42" s="24">
        <f>A40/A41</f>
        <v>0.71641026356983561</v>
      </c>
      <c r="G42" t="s">
        <v>206</v>
      </c>
      <c r="H42" t="s">
        <v>208</v>
      </c>
    </row>
    <row r="43" spans="1:8" x14ac:dyDescent="0.3">
      <c r="A43" s="24">
        <f>A35-A42</f>
        <v>7.1897364301644062E-3</v>
      </c>
      <c r="H43" t="s">
        <v>209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M28"/>
  <sheetViews>
    <sheetView workbookViewId="0">
      <selection activeCell="C29" sqref="C29"/>
    </sheetView>
  </sheetViews>
  <sheetFormatPr defaultRowHeight="14.4" x14ac:dyDescent="0.3"/>
  <cols>
    <col min="4" max="4" width="35.5546875" customWidth="1"/>
    <col min="5" max="5" width="34.33203125" customWidth="1"/>
  </cols>
  <sheetData>
    <row r="6" spans="1:5" x14ac:dyDescent="0.3">
      <c r="A6">
        <f>5/16</f>
        <v>0.3125</v>
      </c>
      <c r="B6" t="s">
        <v>8</v>
      </c>
      <c r="C6" t="s">
        <v>213</v>
      </c>
      <c r="D6" t="s">
        <v>214</v>
      </c>
    </row>
    <row r="7" spans="1:5" x14ac:dyDescent="0.3">
      <c r="A7">
        <v>24</v>
      </c>
      <c r="C7" t="s">
        <v>218</v>
      </c>
      <c r="D7" t="s">
        <v>217</v>
      </c>
    </row>
    <row r="8" spans="1:5" x14ac:dyDescent="0.3">
      <c r="A8" s="9">
        <f>1/A7</f>
        <v>4.1666666666666664E-2</v>
      </c>
      <c r="B8" t="s">
        <v>215</v>
      </c>
      <c r="C8" t="s">
        <v>216</v>
      </c>
      <c r="D8" t="s">
        <v>219</v>
      </c>
    </row>
    <row r="9" spans="1:5" x14ac:dyDescent="0.3">
      <c r="A9">
        <v>5.8000000000000003E-2</v>
      </c>
      <c r="B9" t="s">
        <v>92</v>
      </c>
      <c r="C9" t="s">
        <v>212</v>
      </c>
      <c r="D9" t="s">
        <v>89</v>
      </c>
    </row>
    <row r="10" spans="1:5" x14ac:dyDescent="0.3">
      <c r="A10">
        <f>(2*A9)/(0.5*PI()*(A6-0.64952*A8))</f>
        <v>0.258719016225337</v>
      </c>
      <c r="B10" t="s">
        <v>8</v>
      </c>
      <c r="C10" t="s">
        <v>210</v>
      </c>
      <c r="D10" t="s">
        <v>211</v>
      </c>
      <c r="E10" t="s">
        <v>220</v>
      </c>
    </row>
    <row r="12" spans="1:5" x14ac:dyDescent="0.3">
      <c r="A12">
        <f>A6</f>
        <v>0.3125</v>
      </c>
      <c r="D12" t="s">
        <v>221</v>
      </c>
    </row>
    <row r="13" spans="1:5" x14ac:dyDescent="0.3">
      <c r="A13">
        <f>1.5*A6</f>
        <v>0.46875</v>
      </c>
      <c r="D13" t="s">
        <v>222</v>
      </c>
    </row>
    <row r="16" spans="1:5" x14ac:dyDescent="0.3">
      <c r="A16">
        <f>3/16</f>
        <v>0.1875</v>
      </c>
    </row>
    <row r="17" spans="1:13" x14ac:dyDescent="0.3">
      <c r="A17">
        <f>5/32</f>
        <v>0.15625</v>
      </c>
    </row>
    <row r="18" spans="1:13" x14ac:dyDescent="0.3">
      <c r="A18">
        <f>1/8</f>
        <v>0.125</v>
      </c>
    </row>
    <row r="19" spans="1:13" x14ac:dyDescent="0.3">
      <c r="A19">
        <f>11/64</f>
        <v>0.171875</v>
      </c>
    </row>
    <row r="20" spans="1:13" x14ac:dyDescent="0.3">
      <c r="A20">
        <f>0.14*64</f>
        <v>8.9600000000000009</v>
      </c>
    </row>
    <row r="21" spans="1:13" x14ac:dyDescent="0.3">
      <c r="A21">
        <f>9/64</f>
        <v>0.140625</v>
      </c>
    </row>
    <row r="24" spans="1:13" x14ac:dyDescent="0.3">
      <c r="L24">
        <v>480</v>
      </c>
      <c r="M24" t="s">
        <v>239</v>
      </c>
    </row>
    <row r="25" spans="1:13" x14ac:dyDescent="0.3">
      <c r="C25">
        <f>0.05*871</f>
        <v>43.550000000000004</v>
      </c>
      <c r="L25">
        <f>(L24-32)*5/9</f>
        <v>248.88888888888889</v>
      </c>
    </row>
    <row r="26" spans="1:13" x14ac:dyDescent="0.3">
      <c r="C26">
        <f>600/44</f>
        <v>13.636363636363637</v>
      </c>
    </row>
    <row r="28" spans="1:13" x14ac:dyDescent="0.3">
      <c r="C28">
        <f>44/7</f>
        <v>6.2857142857142856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SLC - 6in no wedge #2-253</vt:lpstr>
      <vt:lpstr>volume considerations</vt:lpstr>
      <vt:lpstr>thread engagement</vt:lpstr>
    </vt:vector>
  </TitlesOfParts>
  <Company>Caltech, PMA, LIGO Lab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Dennis Coyne</dc:creator>
  <cp:lastModifiedBy>coyne</cp:lastModifiedBy>
  <cp:lastPrinted>2011-05-26T18:48:53Z</cp:lastPrinted>
  <dcterms:created xsi:type="dcterms:W3CDTF">2011-05-23T15:27:08Z</dcterms:created>
  <dcterms:modified xsi:type="dcterms:W3CDTF">2011-09-11T01:40:53Z</dcterms:modified>
</cp:coreProperties>
</file>