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850" yWindow="-45" windowWidth="13980" windowHeight="12960"/>
  </bookViews>
  <sheets>
    <sheet name="Staging building" sheetId="1" r:id="rId1"/>
    <sheet name="LVEA" sheetId="2" r:id="rId2"/>
  </sheets>
  <calcPr calcId="125725" concurrentCalc="0"/>
</workbook>
</file>

<file path=xl/calcChain.xml><?xml version="1.0" encoding="utf-8"?>
<calcChain xmlns="http://schemas.openxmlformats.org/spreadsheetml/2006/main">
  <c r="E124" i="1"/>
  <c r="E125"/>
  <c r="E126"/>
  <c r="E127"/>
  <c r="E128"/>
  <c r="E129"/>
  <c r="E130"/>
  <c r="E131"/>
  <c r="E132"/>
  <c r="E133"/>
  <c r="E134"/>
  <c r="E123"/>
  <c r="F100"/>
  <c r="G100"/>
  <c r="L151"/>
  <c r="L152"/>
  <c r="L150"/>
  <c r="L153"/>
  <c r="M145"/>
  <c r="M148"/>
  <c r="N153"/>
  <c r="L154"/>
  <c r="L155"/>
  <c r="L156"/>
  <c r="B334"/>
  <c r="B333"/>
  <c r="B332"/>
  <c r="E297"/>
  <c r="E298"/>
  <c r="E299"/>
  <c r="E300"/>
  <c r="E301"/>
  <c r="E302"/>
  <c r="E303"/>
  <c r="E304"/>
  <c r="E296"/>
  <c r="E305"/>
  <c r="H305"/>
  <c r="D108"/>
  <c r="E108"/>
  <c r="D109"/>
  <c r="E109"/>
  <c r="D110"/>
  <c r="E110"/>
  <c r="D111"/>
  <c r="E111"/>
  <c r="D112"/>
  <c r="E112"/>
  <c r="E107"/>
  <c r="D107"/>
  <c r="E212"/>
  <c r="E209"/>
  <c r="E206"/>
  <c r="E203"/>
  <c r="J141"/>
  <c r="E141"/>
  <c r="K141"/>
  <c r="M143"/>
  <c r="Q141"/>
  <c r="R141"/>
  <c r="J142"/>
  <c r="E142"/>
  <c r="K142"/>
  <c r="Q142"/>
  <c r="R142"/>
  <c r="J140"/>
  <c r="E140"/>
  <c r="K140"/>
  <c r="Q140"/>
  <c r="R140"/>
  <c r="AF140"/>
  <c r="AA140"/>
  <c r="AG140"/>
  <c r="AF141"/>
  <c r="AA141"/>
  <c r="AG141"/>
  <c r="AF142"/>
  <c r="AA142"/>
  <c r="AG142"/>
  <c r="AG143"/>
  <c r="AI143"/>
  <c r="AG144"/>
  <c r="AG145"/>
  <c r="AG146"/>
  <c r="AI145"/>
  <c r="K143"/>
  <c r="K144"/>
  <c r="K145"/>
  <c r="K146"/>
  <c r="I150"/>
  <c r="K150"/>
  <c r="I151"/>
  <c r="K151"/>
  <c r="I152"/>
  <c r="K152"/>
  <c r="K153"/>
  <c r="K154"/>
  <c r="K155"/>
  <c r="K156"/>
  <c r="E151"/>
  <c r="E152"/>
  <c r="E150"/>
  <c r="B335"/>
  <c r="F463" i="2"/>
  <c r="F464"/>
  <c r="F462"/>
  <c r="F460"/>
  <c r="F461"/>
  <c r="F459"/>
  <c r="F457"/>
  <c r="F458"/>
  <c r="F456"/>
  <c r="F455"/>
  <c r="F453"/>
  <c r="E456"/>
  <c r="E459"/>
  <c r="E462"/>
  <c r="E453"/>
  <c r="E408"/>
  <c r="C312" i="1"/>
  <c r="E312"/>
  <c r="D312"/>
  <c r="C313"/>
  <c r="E313"/>
  <c r="D313"/>
  <c r="E314"/>
  <c r="D314"/>
  <c r="E315"/>
  <c r="D315"/>
  <c r="E316"/>
  <c r="D316"/>
  <c r="C311"/>
  <c r="E311"/>
  <c r="D311"/>
  <c r="E414" i="2"/>
  <c r="E409"/>
  <c r="E410"/>
  <c r="E411"/>
  <c r="E412"/>
  <c r="E413"/>
  <c r="D405"/>
  <c r="D401"/>
  <c r="D402"/>
  <c r="D403"/>
  <c r="D404"/>
  <c r="D400"/>
  <c r="C405"/>
  <c r="C431"/>
  <c r="D430"/>
  <c r="D429"/>
  <c r="D428"/>
  <c r="D427"/>
  <c r="D426"/>
  <c r="D425"/>
  <c r="D431"/>
  <c r="D413"/>
  <c r="D412"/>
  <c r="D411"/>
  <c r="D410"/>
  <c r="D409"/>
  <c r="D408"/>
  <c r="D414"/>
  <c r="F293"/>
  <c r="G293"/>
  <c r="G292"/>
  <c r="F292"/>
  <c r="G291"/>
  <c r="F291"/>
  <c r="G290"/>
  <c r="F290"/>
  <c r="F289"/>
  <c r="G289"/>
  <c r="F288"/>
  <c r="G288"/>
  <c r="F287"/>
  <c r="G287"/>
  <c r="G286"/>
  <c r="F286"/>
  <c r="F285"/>
  <c r="G285"/>
  <c r="F284"/>
  <c r="G284"/>
  <c r="G283"/>
  <c r="F283"/>
  <c r="G282"/>
  <c r="F282"/>
  <c r="E368"/>
  <c r="F368"/>
  <c r="E367"/>
  <c r="F367"/>
  <c r="E366"/>
  <c r="F366"/>
  <c r="F365"/>
  <c r="E365"/>
  <c r="E364"/>
  <c r="F364"/>
  <c r="E363"/>
  <c r="F363"/>
  <c r="E362"/>
  <c r="F362"/>
  <c r="F361"/>
  <c r="E361"/>
  <c r="E360"/>
  <c r="F360"/>
  <c r="E359"/>
  <c r="F359"/>
  <c r="E358"/>
  <c r="F358"/>
  <c r="F357"/>
  <c r="E357"/>
  <c r="C261"/>
  <c r="D260"/>
  <c r="D259"/>
  <c r="D258"/>
  <c r="D257"/>
  <c r="D256"/>
  <c r="D255"/>
  <c r="D261"/>
  <c r="D243"/>
  <c r="D242"/>
  <c r="D241"/>
  <c r="D240"/>
  <c r="D239"/>
  <c r="D238"/>
  <c r="D244"/>
  <c r="F144"/>
  <c r="E142"/>
  <c r="F142"/>
  <c r="E139"/>
  <c r="F139"/>
  <c r="F138"/>
  <c r="E136"/>
  <c r="F136"/>
  <c r="F135"/>
  <c r="E133"/>
  <c r="F133"/>
  <c r="F128"/>
  <c r="E128"/>
  <c r="E127"/>
  <c r="F127"/>
  <c r="F126"/>
  <c r="E126"/>
  <c r="E125"/>
  <c r="F125"/>
  <c r="F124"/>
  <c r="E124"/>
  <c r="E123"/>
  <c r="F123"/>
  <c r="F122"/>
  <c r="E122"/>
  <c r="E121"/>
  <c r="F121"/>
  <c r="F120"/>
  <c r="E120"/>
  <c r="E119"/>
  <c r="F119"/>
  <c r="F118"/>
  <c r="E118"/>
  <c r="E117"/>
  <c r="F117"/>
  <c r="G101"/>
  <c r="F101"/>
  <c r="F100"/>
  <c r="G100"/>
  <c r="G99"/>
  <c r="F99"/>
  <c r="F98"/>
  <c r="G98"/>
  <c r="G97"/>
  <c r="F97"/>
  <c r="F96"/>
  <c r="G96"/>
  <c r="G95"/>
  <c r="F95"/>
  <c r="F94"/>
  <c r="G94"/>
  <c r="G93"/>
  <c r="F93"/>
  <c r="F92"/>
  <c r="G92"/>
  <c r="G91"/>
  <c r="F91"/>
  <c r="F90"/>
  <c r="G90"/>
  <c r="A353" i="1"/>
  <c r="B343"/>
  <c r="F321"/>
  <c r="E317"/>
  <c r="F212"/>
  <c r="F213"/>
  <c r="F211"/>
  <c r="F210"/>
  <c r="F209"/>
  <c r="F206"/>
  <c r="F207"/>
  <c r="F205"/>
  <c r="F204"/>
  <c r="F203"/>
  <c r="B199"/>
  <c r="B198"/>
  <c r="B193"/>
  <c r="F186"/>
  <c r="J186"/>
  <c r="K186"/>
  <c r="K189"/>
  <c r="K190"/>
  <c r="B195"/>
  <c r="B196"/>
  <c r="J188"/>
  <c r="F188"/>
  <c r="K188"/>
  <c r="F187"/>
  <c r="J187"/>
  <c r="K187"/>
  <c r="B178"/>
  <c r="F174"/>
  <c r="J174"/>
  <c r="K174"/>
  <c r="J173"/>
  <c r="F173"/>
  <c r="K173"/>
  <c r="J172"/>
  <c r="F172"/>
  <c r="K172"/>
  <c r="C166"/>
  <c r="D166"/>
  <c r="E166"/>
  <c r="C164"/>
  <c r="D164"/>
  <c r="E164"/>
  <c r="E167"/>
  <c r="C160"/>
  <c r="D160"/>
  <c r="E160"/>
  <c r="C159"/>
  <c r="D159"/>
  <c r="E159"/>
  <c r="C158"/>
  <c r="D158"/>
  <c r="E158"/>
  <c r="E161"/>
  <c r="N155"/>
  <c r="F134"/>
  <c r="F133"/>
  <c r="F132"/>
  <c r="F131"/>
  <c r="F130"/>
  <c r="F129"/>
  <c r="F128"/>
  <c r="F127"/>
  <c r="F126"/>
  <c r="F125"/>
  <c r="F124"/>
  <c r="F123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K175"/>
  <c r="K176"/>
  <c r="B180"/>
  <c r="B181"/>
  <c r="C165"/>
  <c r="D165"/>
  <c r="E165"/>
  <c r="B345"/>
  <c r="F137" i="2"/>
  <c r="F143"/>
  <c r="D317" i="1"/>
  <c r="F208"/>
  <c r="F214"/>
  <c r="B344"/>
  <c r="F141" i="2"/>
  <c r="F134"/>
  <c r="F140"/>
</calcChain>
</file>

<file path=xl/sharedStrings.xml><?xml version="1.0" encoding="utf-8"?>
<sst xmlns="http://schemas.openxmlformats.org/spreadsheetml/2006/main" count="1602" uniqueCount="580">
  <si>
    <t>Electronics Inventory</t>
  </si>
  <si>
    <t>Hardware</t>
  </si>
  <si>
    <t>Ligo reference</t>
  </si>
  <si>
    <t>S/N</t>
  </si>
  <si>
    <t>Interface Chassis - Corner 1</t>
  </si>
  <si>
    <t>D1002432</t>
  </si>
  <si>
    <t>Interface Chassis - Corner 2</t>
  </si>
  <si>
    <t>S1102224</t>
  </si>
  <si>
    <t>Interface Chassis - Corner 3</t>
  </si>
  <si>
    <t>S1102218</t>
  </si>
  <si>
    <t>Anti-Alliasing Chassis - Corner 1</t>
  </si>
  <si>
    <t>D1002693</t>
  </si>
  <si>
    <t>S1102693</t>
  </si>
  <si>
    <t>Anti-Alliasing Chassis - Corner 2</t>
  </si>
  <si>
    <t>S1102694</t>
  </si>
  <si>
    <t>Anti-Alliasing Chassis - Corner 3</t>
  </si>
  <si>
    <t>S1102679</t>
  </si>
  <si>
    <t>Anti-image Chassis</t>
  </si>
  <si>
    <t>D070081</t>
  </si>
  <si>
    <t>S1000250</t>
  </si>
  <si>
    <t>Binary Input Chassis</t>
  </si>
  <si>
    <t>D1001726</t>
  </si>
  <si>
    <t>S1101309</t>
  </si>
  <si>
    <t>Binary Output Chassis</t>
  </si>
  <si>
    <t>D1001728</t>
  </si>
  <si>
    <t>S1101347</t>
  </si>
  <si>
    <t>T240 Interface - Corner 1</t>
  </si>
  <si>
    <t>D1002694</t>
  </si>
  <si>
    <t>T240 Interface - Corner 2</t>
  </si>
  <si>
    <t>S1101838</t>
  </si>
  <si>
    <t>T240 Interface - Corner 3</t>
  </si>
  <si>
    <t>S1101839</t>
  </si>
  <si>
    <t>I/O Chassis</t>
  </si>
  <si>
    <t>n/a</t>
  </si>
  <si>
    <t>Coil driver Pod 1</t>
  </si>
  <si>
    <t>D0902744</t>
  </si>
  <si>
    <t>S1000266</t>
  </si>
  <si>
    <t>Coil driver Pod 2</t>
  </si>
  <si>
    <t>S1000269</t>
  </si>
  <si>
    <t>Coil driver Pod 3</t>
  </si>
  <si>
    <t>Actuator</t>
  </si>
  <si>
    <t>Coil driver name</t>
  </si>
  <si>
    <t>Resistance (Ω)</t>
  </si>
  <si>
    <t>Stage 1</t>
  </si>
  <si>
    <t>Stage 2</t>
  </si>
  <si>
    <t>ST1 H1</t>
  </si>
  <si>
    <t>Coil1 Coarse 1</t>
  </si>
  <si>
    <t>Actuator S/N</t>
  </si>
  <si>
    <t>ST2 H1</t>
  </si>
  <si>
    <t>Coil 1 Fine 1</t>
  </si>
  <si>
    <t>ST1 - H1</t>
  </si>
  <si>
    <t>24</t>
  </si>
  <si>
    <t>ST2 - H1</t>
  </si>
  <si>
    <t>61</t>
  </si>
  <si>
    <t>ST2 V1</t>
  </si>
  <si>
    <t>Coil 1 Fine 2</t>
  </si>
  <si>
    <t>ST1 - H2</t>
  </si>
  <si>
    <t>41</t>
  </si>
  <si>
    <t>ST2 - H2</t>
  </si>
  <si>
    <t>57</t>
  </si>
  <si>
    <t>ST1 V1</t>
  </si>
  <si>
    <t>Coil 1 Coarse 2</t>
  </si>
  <si>
    <t>ST1 - H3</t>
  </si>
  <si>
    <t>42</t>
  </si>
  <si>
    <t>ST2 - H3</t>
  </si>
  <si>
    <t>62</t>
  </si>
  <si>
    <t>ST1 H2</t>
  </si>
  <si>
    <t>Coil 2 Coarse 2</t>
  </si>
  <si>
    <t>ST1 - V1</t>
  </si>
  <si>
    <t>43</t>
  </si>
  <si>
    <t>ST2 - V1</t>
  </si>
  <si>
    <t>85</t>
  </si>
  <si>
    <t>ST2 H2</t>
  </si>
  <si>
    <t>Coil 2 Fine 1</t>
  </si>
  <si>
    <t>ST1 - V2</t>
  </si>
  <si>
    <t>56</t>
  </si>
  <si>
    <t>ST2 - V2</t>
  </si>
  <si>
    <t>90</t>
  </si>
  <si>
    <t>ST2 V2</t>
  </si>
  <si>
    <t>Coil 2 Fine 2</t>
  </si>
  <si>
    <t>ST1 - V3</t>
  </si>
  <si>
    <t>63</t>
  </si>
  <si>
    <t>ST2 - V3</t>
  </si>
  <si>
    <t>68</t>
  </si>
  <si>
    <t>ST1 V2</t>
  </si>
  <si>
    <t>ST1 H3</t>
  </si>
  <si>
    <t>Coil 3 Coarse 1</t>
  </si>
  <si>
    <t>Step  2 - Sensors inventory</t>
  </si>
  <si>
    <t>ST2 H3</t>
  </si>
  <si>
    <t>Coil 3 Fine 1</t>
  </si>
  <si>
    <t>ST2 V3</t>
  </si>
  <si>
    <t>Coil 3 Fine 2</t>
  </si>
  <si>
    <t>2822-V</t>
  </si>
  <si>
    <t>CPS Stage 1</t>
  </si>
  <si>
    <t>CPS S/N</t>
  </si>
  <si>
    <t>ADE board serial #</t>
  </si>
  <si>
    <t>ST1 V3</t>
  </si>
  <si>
    <t>Coil 3 Coarse 2</t>
  </si>
  <si>
    <t>12504</t>
  </si>
  <si>
    <t>12949</t>
  </si>
  <si>
    <t>H1</t>
  </si>
  <si>
    <t>H2</t>
  </si>
  <si>
    <t>H3</t>
  </si>
  <si>
    <t>V1</t>
  </si>
  <si>
    <t>12512</t>
  </si>
  <si>
    <t>12952</t>
  </si>
  <si>
    <t>V2</t>
  </si>
  <si>
    <t>12381</t>
  </si>
  <si>
    <t>12950</t>
  </si>
  <si>
    <t>V3</t>
  </si>
  <si>
    <t>12378</t>
  </si>
  <si>
    <t>12940</t>
  </si>
  <si>
    <t>12413</t>
  </si>
  <si>
    <t>12939</t>
  </si>
  <si>
    <t>CPS Stage 2</t>
  </si>
  <si>
    <t>12423</t>
  </si>
  <si>
    <t>12938</t>
  </si>
  <si>
    <t>Geophones GS13</t>
  </si>
  <si>
    <t>Serial Number</t>
  </si>
  <si>
    <t>POD</t>
  </si>
  <si>
    <t>Geophones L4C</t>
  </si>
  <si>
    <t>Geophones T240</t>
  </si>
  <si>
    <t>Stage 0-1</t>
  </si>
  <si>
    <t>Stage 1-2</t>
  </si>
  <si>
    <t>Lockers</t>
  </si>
  <si>
    <t>Shim thickness (mil)</t>
  </si>
  <si>
    <t>Corner 1</t>
  </si>
  <si>
    <t>0.127"</t>
  </si>
  <si>
    <t>0.126"</t>
  </si>
  <si>
    <t>Corner 2</t>
  </si>
  <si>
    <t>0.125"</t>
  </si>
  <si>
    <t>0.122"</t>
  </si>
  <si>
    <t>Corner 3</t>
  </si>
  <si>
    <t>0.130"</t>
  </si>
  <si>
    <t>D.I at Lockers</t>
  </si>
  <si>
    <t>Dial indicators V</t>
  </si>
  <si>
    <t>Dial indicators H</t>
  </si>
  <si>
    <t>A</t>
  </si>
  <si>
    <t>B</t>
  </si>
  <si>
    <t>C</t>
  </si>
  <si>
    <t>Table locked</t>
  </si>
  <si>
    <t>Table unlocked</t>
  </si>
  <si>
    <t>Difference locked - unlocked</t>
  </si>
  <si>
    <t>Sensors</t>
  </si>
  <si>
    <t>Offset (Mean)</t>
  </si>
  <si>
    <t>Std deviation</t>
  </si>
  <si>
    <t>mil</t>
  </si>
  <si>
    <t>Push in positive direction</t>
  </si>
  <si>
    <t>Push in negative direction</t>
  </si>
  <si>
    <t>Mil</t>
  </si>
  <si>
    <t>Railing</t>
  </si>
  <si>
    <t>Actuator Gap Check</t>
  </si>
  <si>
    <t>Sensor readout (counts)</t>
  </si>
  <si>
    <t>Negative drive</t>
  </si>
  <si>
    <t>no drive</t>
  </si>
  <si>
    <t>Positive drive</t>
  </si>
  <si>
    <t>Amplitude count</t>
  </si>
  <si>
    <t>Average</t>
  </si>
  <si>
    <t>Calibration check on stage 2 + first blade stiffnes measurements</t>
  </si>
  <si>
    <t>ST1 locked - ST2 unlocked</t>
  </si>
  <si>
    <t>No load</t>
  </si>
  <si>
    <t>Diff</t>
  </si>
  <si>
    <t>3x5Kg</t>
  </si>
  <si>
    <t>count</t>
  </si>
  <si>
    <t>Cout/mil</t>
  </si>
  <si>
    <t>lb/in</t>
  </si>
  <si>
    <t>Ct/m</t>
  </si>
  <si>
    <t>%</t>
  </si>
  <si>
    <t>Reference value stage 2</t>
  </si>
  <si>
    <t>Ct/mil</t>
  </si>
  <si>
    <t>ST1 unlocked - ST2 locked</t>
  </si>
  <si>
    <t>Load 30Kg</t>
  </si>
  <si>
    <t>Diff 1</t>
  </si>
  <si>
    <t>Diff 2</t>
  </si>
  <si>
    <t>Reference value stage 1</t>
  </si>
  <si>
    <t>KN/m</t>
  </si>
  <si>
    <t>Mean diff (counts)</t>
  </si>
  <si>
    <t>Mean diff m</t>
  </si>
  <si>
    <t>K (N/m)</t>
  </si>
  <si>
    <t>Average (N/m)</t>
  </si>
  <si>
    <t>Second Measurements</t>
  </si>
  <si>
    <t>Unloaded</t>
  </si>
  <si>
    <t>Loaded</t>
  </si>
  <si>
    <t>Meas 1</t>
  </si>
  <si>
    <t>Meas 2</t>
  </si>
  <si>
    <t>Meas 3</t>
  </si>
  <si>
    <t>Mass</t>
  </si>
  <si>
    <t>g</t>
  </si>
  <si>
    <t>lb</t>
  </si>
  <si>
    <t>K</t>
  </si>
  <si>
    <t>Error with nominal</t>
  </si>
  <si>
    <t>Stage1</t>
  </si>
  <si>
    <t>Stage 1 - Platform move for 32K counts</t>
  </si>
  <si>
    <t>coef*U/(K*R)</t>
  </si>
  <si>
    <t>Stage 2 - Platform move for 32K counts</t>
  </si>
  <si>
    <t>Slope</t>
  </si>
  <si>
    <t>Offset</t>
  </si>
  <si>
    <t>Average slope</t>
  </si>
  <si>
    <t>Variation from
average(%)</t>
  </si>
  <si>
    <t>Pressure (count)</t>
  </si>
  <si>
    <t>Day 1</t>
  </si>
  <si>
    <t>Day 2</t>
  </si>
  <si>
    <t>Day 3</t>
  </si>
  <si>
    <t>Day 4</t>
  </si>
  <si>
    <t>L4C - H1</t>
  </si>
  <si>
    <t>L4C - H2</t>
  </si>
  <si>
    <t>L4C - H3</t>
  </si>
  <si>
    <t>L4C - V1</t>
  </si>
  <si>
    <t>L4C - V2</t>
  </si>
  <si>
    <t>L4C - V3</t>
  </si>
  <si>
    <t>GS13 - H1</t>
  </si>
  <si>
    <t>GS13 - H2</t>
  </si>
  <si>
    <t>GS13 - H3</t>
  </si>
  <si>
    <t>GS13 - V1</t>
  </si>
  <si>
    <t>GS13 - V2</t>
  </si>
  <si>
    <t>GS13 - V3</t>
  </si>
  <si>
    <t>T240 - 1</t>
  </si>
  <si>
    <t>T240 - 2</t>
  </si>
  <si>
    <t>T240 - 3</t>
  </si>
  <si>
    <t>Test Local drive</t>
  </si>
  <si>
    <t>Actuators</t>
  </si>
  <si>
    <t>Refrence table</t>
  </si>
  <si>
    <t>Test Cartesian drive</t>
  </si>
  <si>
    <t>ST1 - X</t>
  </si>
  <si>
    <t>ST1 - Y</t>
  </si>
  <si>
    <t>ST1 - Z</t>
  </si>
  <si>
    <t>ST1 - RY</t>
  </si>
  <si>
    <t>ST1 - RZ</t>
  </si>
  <si>
    <t>ST1 - RX</t>
  </si>
  <si>
    <t>ST2 - X</t>
  </si>
  <si>
    <t>ST2 - Y</t>
  </si>
  <si>
    <t>ST2 - Z</t>
  </si>
  <si>
    <t>ST2 - RY</t>
  </si>
  <si>
    <t>ST2 - RZ</t>
  </si>
  <si>
    <t>ST2 - RX</t>
  </si>
  <si>
    <t>Mass Budget</t>
  </si>
  <si>
    <t>Quantity</t>
  </si>
  <si>
    <t>Weight</t>
  </si>
  <si>
    <t>Unit</t>
  </si>
  <si>
    <t>Kg</t>
  </si>
  <si>
    <t>1 type 4</t>
  </si>
  <si>
    <t>1type 3</t>
  </si>
  <si>
    <t>2 type 2 + 1 type 3</t>
  </si>
  <si>
    <t>Weight (Kg)</t>
  </si>
  <si>
    <t>Total Weight(lb)</t>
  </si>
  <si>
    <t>Total Weight(Kg)</t>
  </si>
  <si>
    <t>Total :</t>
  </si>
  <si>
    <t>D0902612</t>
  </si>
  <si>
    <t>D0902614</t>
  </si>
  <si>
    <t>D0902615</t>
  </si>
  <si>
    <t>Location</t>
  </si>
  <si>
    <t>Weight (lb)</t>
  </si>
  <si>
    <t>C1-1</t>
  </si>
  <si>
    <t>C1-2</t>
  </si>
  <si>
    <t>C2-1</t>
  </si>
  <si>
    <t>C2-2</t>
  </si>
  <si>
    <t>C3-1</t>
  </si>
  <si>
    <t>C3-2</t>
  </si>
  <si>
    <t>Total</t>
  </si>
  <si>
    <t>Density (ASI 304)</t>
  </si>
  <si>
    <t>lb/in3</t>
  </si>
  <si>
    <t>Surface</t>
  </si>
  <si>
    <t>Thickness</t>
  </si>
  <si>
    <t>Mass(lb)</t>
  </si>
  <si>
    <t>D0902616-1</t>
  </si>
  <si>
    <t>D0902616-2</t>
  </si>
  <si>
    <t>D0902616-3</t>
  </si>
  <si>
    <t>D0902616-4</t>
  </si>
  <si>
    <t>D0902616-5</t>
  </si>
  <si>
    <t>BSC-ISI</t>
  </si>
  <si>
    <t>LVEA</t>
  </si>
  <si>
    <t>First test without ITMY and FMY</t>
  </si>
  <si>
    <t>Rack #</t>
  </si>
  <si>
    <t>Interface Chassis Pod 1</t>
  </si>
  <si>
    <t>S1102228</t>
  </si>
  <si>
    <t>Interface Chassis Pod 2</t>
  </si>
  <si>
    <t>D1002433</t>
  </si>
  <si>
    <t>S1102230</t>
  </si>
  <si>
    <t>Interface Chassis Pod 3</t>
  </si>
  <si>
    <t>D1002434</t>
  </si>
  <si>
    <t>S1102229</t>
  </si>
  <si>
    <t>Anti-alliasing Chassis</t>
  </si>
  <si>
    <t>S1103404</t>
  </si>
  <si>
    <t>S1103405</t>
  </si>
  <si>
    <t>S1103402</t>
  </si>
  <si>
    <t>S1101284</t>
  </si>
  <si>
    <t>S1101280</t>
  </si>
  <si>
    <t>S1101319</t>
  </si>
  <si>
    <t>T240 Interface Pod 1</t>
  </si>
  <si>
    <t>S1103177</t>
  </si>
  <si>
    <t>T240 Interface Pod 2</t>
  </si>
  <si>
    <t>S1103181</t>
  </si>
  <si>
    <t>T240 Interface Pod 3</t>
  </si>
  <si>
    <t>S1103180</t>
  </si>
  <si>
    <t>D1000305</t>
  </si>
  <si>
    <t>S1103502</t>
  </si>
  <si>
    <t>S1103564</t>
  </si>
  <si>
    <t>S1103563</t>
  </si>
  <si>
    <t>S1103356</t>
  </si>
  <si>
    <t>Long cables</t>
  </si>
  <si>
    <t>Resistance</t>
  </si>
  <si>
    <t>Invoice</t>
  </si>
  <si>
    <t>Gauge</t>
  </si>
  <si>
    <t>Probe</t>
  </si>
  <si>
    <t>Master/Slave</t>
  </si>
  <si>
    <t>Phase</t>
  </si>
  <si>
    <t>ST1-H1</t>
  </si>
  <si>
    <t>8800</t>
  </si>
  <si>
    <t>Slave</t>
  </si>
  <si>
    <t>ST1-H2</t>
  </si>
  <si>
    <t>12305</t>
  </si>
  <si>
    <t>ST1-H3</t>
  </si>
  <si>
    <t>ST1-V1</t>
  </si>
  <si>
    <t>12312</t>
  </si>
  <si>
    <t>Master</t>
  </si>
  <si>
    <t>ST1-V2</t>
  </si>
  <si>
    <t>12307</t>
  </si>
  <si>
    <t>ST1-V3</t>
  </si>
  <si>
    <t>12416</t>
  </si>
  <si>
    <t>ST2-H1</t>
  </si>
  <si>
    <t>12380</t>
  </si>
  <si>
    <t>ST2-H2</t>
  </si>
  <si>
    <t>ST2-H3</t>
  </si>
  <si>
    <t>ST2-V1</t>
  </si>
  <si>
    <t>ST2-V2</t>
  </si>
  <si>
    <t>ST2-V3</t>
  </si>
  <si>
    <t>12373</t>
  </si>
  <si>
    <t>Not noted at LLO</t>
  </si>
  <si>
    <t>location T240</t>
  </si>
  <si>
    <t>Cleaning status</t>
  </si>
  <si>
    <t>Comments</t>
  </si>
  <si>
    <t>Class A</t>
  </si>
  <si>
    <t>Initially installed - POD 12 - S/N 138 - Replacement on September 30, 2011</t>
  </si>
  <si>
    <t>Initially installed - POD 26 - S/N 133 - Replacement on September 30, 2011</t>
  </si>
  <si>
    <t>Initially installed - POD 36 - S/N 109 - Replacement on September 30, 2011</t>
  </si>
  <si>
    <t>Stage 0-1 Corner 2</t>
  </si>
  <si>
    <t>POD 3</t>
  </si>
  <si>
    <t>Anti image pin #</t>
  </si>
  <si>
    <t>Cable #</t>
  </si>
  <si>
    <t>Resistance (Ohm)</t>
  </si>
  <si>
    <t>CD Voltage
for 1000 cts offset</t>
  </si>
  <si>
    <t>ITMY and FMY installed</t>
  </si>
  <si>
    <t>Measurement on November 6, 2011</t>
  </si>
  <si>
    <t>Gain</t>
  </si>
  <si>
    <t>ST1 ACT H1</t>
  </si>
  <si>
    <t>ST1 ACT H2</t>
  </si>
  <si>
    <t>ST1 ACT H3</t>
  </si>
  <si>
    <t>ST1 ACT V1</t>
  </si>
  <si>
    <t>ST1 ACT V2</t>
  </si>
  <si>
    <t>ST1 ACT V3</t>
  </si>
  <si>
    <t>ST2 ACT H1</t>
  </si>
  <si>
    <t>ST2 ACT H2</t>
  </si>
  <si>
    <t>ST2 ACT H3</t>
  </si>
  <si>
    <t>ST2 ACT V1</t>
  </si>
  <si>
    <t>ST2 ACT V2</t>
  </si>
  <si>
    <t>ST2 ACT V3</t>
  </si>
  <si>
    <t>LHO_ISI_BSC8_Offset_Local_Drive_20111206</t>
  </si>
  <si>
    <t>LHO_ISI_BSC8_Offset_Cartesian_Drive_20111206</t>
  </si>
  <si>
    <t>ST1 – RX</t>
  </si>
  <si>
    <t>ST2 – RX</t>
  </si>
  <si>
    <t>Range of motion</t>
  </si>
  <si>
    <t>LHO_ISI_BSC8_Range_Of_Motion_20111206</t>
  </si>
  <si>
    <t>Pressure Sensor</t>
  </si>
  <si>
    <t>LHO_ISI_BSC8_Pressure_Sensors_Check_20111206</t>
  </si>
  <si>
    <t>Pressure (counts)</t>
  </si>
  <si>
    <t>ST1-L4C-D</t>
  </si>
  <si>
    <t>ST1-L4C-P</t>
  </si>
  <si>
    <t>ST1-GS13-D</t>
  </si>
  <si>
    <t>ST1-GS13-P</t>
  </si>
  <si>
    <t>ST1-T240-P</t>
  </si>
  <si>
    <t>ISI with the Damping Loops</t>
  </si>
  <si>
    <t>ISI Locked</t>
  </si>
  <si>
    <t>ISI Tilted 1</t>
  </si>
  <si>
    <t>ISI Tilted 2</t>
  </si>
  <si>
    <t>ISI Tilted 3</t>
  </si>
  <si>
    <t>ISI Tilted 4</t>
  </si>
  <si>
    <t>ISI Tilted 5</t>
  </si>
  <si>
    <t>ISI Tilted 6</t>
  </si>
  <si>
    <t>+RX</t>
  </si>
  <si>
    <t>-RX</t>
  </si>
  <si>
    <t>Offset drive</t>
  </si>
  <si>
    <t>+RY</t>
  </si>
  <si>
    <t>-RY</t>
  </si>
  <si>
    <t>25K RX-25KRY</t>
  </si>
  <si>
    <t>25K RX+25KRY</t>
  </si>
  <si>
    <t>Time</t>
  </si>
  <si>
    <t>Tilt</t>
  </si>
  <si>
    <t>LHO_ISI_Locked/Unlocked_2011_12_06</t>
  </si>
  <si>
    <t>ISI Unlocked</t>
  </si>
  <si>
    <t>State</t>
  </si>
  <si>
    <t>GPS Time</t>
  </si>
  <si>
    <t>D1003136</t>
  </si>
  <si>
    <t>On Keel</t>
  </si>
  <si>
    <t>D071200-06</t>
  </si>
  <si>
    <t>D071200: 6,5,5;4,4,3,2,2,2;1,1,1,0</t>
  </si>
  <si>
    <t>Corner1 SideWall</t>
  </si>
  <si>
    <t>D071200:6,3,3,1,0;5,1;1</t>
  </si>
  <si>
    <t>Corner2 SideWall</t>
  </si>
  <si>
    <t>D071200:-;4,4;-</t>
  </si>
  <si>
    <t>Corner3 SideWall</t>
  </si>
  <si>
    <t>D1003163</t>
  </si>
  <si>
    <t>On Optical Table</t>
  </si>
  <si>
    <t>D1003164</t>
  </si>
  <si>
    <t>D1003123</t>
  </si>
  <si>
    <t>D1003166</t>
  </si>
  <si>
    <t>D1003167</t>
  </si>
  <si>
    <t>D1003168</t>
  </si>
  <si>
    <t>Mass type</t>
  </si>
  <si>
    <t>Mass Type</t>
  </si>
  <si>
    <t>Total weight (lb)</t>
  </si>
  <si>
    <t>Total weight (Kg)</t>
  </si>
  <si>
    <t>Total Weight (lb)</t>
  </si>
  <si>
    <t>D0902616-1,2,2,3</t>
  </si>
  <si>
    <t>D0902616--1,1,2</t>
  </si>
  <si>
    <t>D0902616--5</t>
  </si>
  <si>
    <t>Total Weight (Kg)</t>
  </si>
  <si>
    <t>Linearity TEST</t>
  </si>
  <si>
    <t>Inf</t>
  </si>
  <si>
    <t>E1000136</t>
  </si>
  <si>
    <t>DCC Number</t>
  </si>
  <si>
    <t>Description</t>
  </si>
  <si>
    <t>Length (in)</t>
  </si>
  <si>
    <t>D1100148</t>
  </si>
  <si>
    <t>2-wire, 14awg 3-pin M to 3-pin F</t>
  </si>
  <si>
    <t>D1100150</t>
  </si>
  <si>
    <t>2-wire, 14awg 2 pins to 3-pin F</t>
  </si>
  <si>
    <t>D1100151</t>
  </si>
  <si>
    <t>D1100152</t>
  </si>
  <si>
    <t>25-pin F-to-25-pin F</t>
  </si>
  <si>
    <t>D1100153</t>
  </si>
  <si>
    <t>D1100154</t>
  </si>
  <si>
    <t>25-pin M-to-two 9-pin F straight</t>
  </si>
  <si>
    <t>D1100155</t>
  </si>
  <si>
    <t>D</t>
  </si>
  <si>
    <t>E</t>
  </si>
  <si>
    <t>F</t>
  </si>
  <si>
    <t>Time GPS</t>
  </si>
  <si>
    <t>Table Tilted</t>
  </si>
  <si>
    <t>Load 1</t>
  </si>
  <si>
    <t>Load 2</t>
  </si>
  <si>
    <t>Load 3</t>
  </si>
  <si>
    <t>Mean Load</t>
  </si>
  <si>
    <t>Load 4</t>
  </si>
  <si>
    <t>No load 2</t>
  </si>
  <si>
    <t>Mean No load</t>
  </si>
  <si>
    <t>Load 15Kg 1</t>
  </si>
  <si>
    <t>Load 15Kg 2</t>
  </si>
  <si>
    <t>Load 15Kg 3</t>
  </si>
  <si>
    <t>Mean load</t>
  </si>
  <si>
    <t>Mean no load</t>
  </si>
  <si>
    <t xml:space="preserve">top </t>
  </si>
  <si>
    <t>D0902616-6</t>
  </si>
  <si>
    <t>D071200-1</t>
  </si>
  <si>
    <t>D071200-2</t>
  </si>
  <si>
    <t>D071200-3</t>
  </si>
  <si>
    <t>D071200-4</t>
  </si>
  <si>
    <t>D071200-5</t>
  </si>
  <si>
    <t>D071200-6</t>
  </si>
  <si>
    <t>D071200-0</t>
  </si>
  <si>
    <t>tupe 1</t>
  </si>
  <si>
    <t>tupe 2</t>
  </si>
  <si>
    <t>tupe 3</t>
  </si>
  <si>
    <t>tupe 4</t>
  </si>
  <si>
    <t>tupe 5</t>
  </si>
  <si>
    <t>tupe 6</t>
  </si>
  <si>
    <t>Stage 2 -  - 2612lb - 5% = 2481lb</t>
  </si>
  <si>
    <t>Mass Budget Nominal - 240lb - 5% = 228lb</t>
  </si>
  <si>
    <t>Stage 1 Actuators</t>
  </si>
  <si>
    <t>Stage 2 Blabde</t>
  </si>
  <si>
    <t>Stage 2 Actuators</t>
  </si>
  <si>
    <t>Stage 3 Blade</t>
  </si>
  <si>
    <t>Stage 3 Actuators</t>
  </si>
  <si>
    <t>Stage 1 Blade</t>
  </si>
  <si>
    <t>X</t>
  </si>
  <si>
    <t>2 vibration absorbers (15lb) + D0902613 + 1 type4</t>
  </si>
  <si>
    <t>3 x 610lb + 2 x 233lb</t>
  </si>
  <si>
    <t>2 type 6 + 1 type 5 + 2 type 4 + 2 type 1 + 1 type 0</t>
  </si>
  <si>
    <t>2 vibration absorbers (15lb) + D0902613 + 1 type 4 + 1 type 1 + 1 type 3 + 2 typ5 + 1 type2</t>
  </si>
  <si>
    <t>2 type 6 + 3 type 4 + 1 type 3 + 1 type 1 + 1 type 0</t>
  </si>
  <si>
    <t>2 vibration absorbers + 1 type 3 + 2 type 1</t>
  </si>
  <si>
    <t>4 type 6 + 2 type 3 + 6 type 1 + 1 type 0</t>
  </si>
  <si>
    <t>type 0</t>
  </si>
  <si>
    <t>D0902613</t>
  </si>
  <si>
    <t>table locked</t>
  </si>
  <si>
    <t>table unlocked</t>
  </si>
  <si>
    <t>BSC-ISI - Unit 4</t>
  </si>
  <si>
    <t>S110223</t>
  </si>
  <si>
    <t>S11031308</t>
  </si>
  <si>
    <t>S1101040</t>
  </si>
  <si>
    <t>S110692</t>
  </si>
  <si>
    <t>X1_ISI_ITMX_CPS_Read_Back_ISI_Locked_2013_01_09_105019</t>
  </si>
  <si>
    <t>X1_ISI_ITMX_CPS_Read_Back_ISI_Unlocked_2013_01_09_110457</t>
  </si>
  <si>
    <t>HAM</t>
  </si>
  <si>
    <t>E1000058</t>
  </si>
  <si>
    <t>04</t>
  </si>
  <si>
    <t>18</t>
  </si>
  <si>
    <t>186</t>
  </si>
  <si>
    <t>27</t>
  </si>
  <si>
    <t>177</t>
  </si>
  <si>
    <t>31</t>
  </si>
  <si>
    <t>44</t>
  </si>
  <si>
    <t>46</t>
  </si>
  <si>
    <t>48</t>
  </si>
  <si>
    <t>45</t>
  </si>
  <si>
    <t>S1104259</t>
  </si>
  <si>
    <t>S1104261</t>
  </si>
  <si>
    <t>S1104264</t>
  </si>
  <si>
    <t>S1104123</t>
  </si>
  <si>
    <t>S1104247</t>
  </si>
  <si>
    <t>S1104248</t>
  </si>
  <si>
    <t>S1106904</t>
  </si>
  <si>
    <t>S1106914</t>
  </si>
  <si>
    <t>S1106916</t>
  </si>
  <si>
    <t>S1106918</t>
  </si>
  <si>
    <t>S1106919</t>
  </si>
  <si>
    <t>S1106920</t>
  </si>
  <si>
    <t>S1106922</t>
  </si>
  <si>
    <t>S1106926</t>
  </si>
  <si>
    <t>S1106928</t>
  </si>
  <si>
    <t>S1106938</t>
  </si>
  <si>
    <t>S1106942</t>
  </si>
  <si>
    <t>S1107082</t>
  </si>
  <si>
    <t>S1107089</t>
  </si>
  <si>
    <t>S1107093</t>
  </si>
  <si>
    <t>S1107099</t>
  </si>
  <si>
    <t>S1107102</t>
  </si>
  <si>
    <t>S1107162</t>
  </si>
  <si>
    <t>S1107171</t>
  </si>
  <si>
    <t>S1107182</t>
  </si>
  <si>
    <t>S1107194</t>
  </si>
  <si>
    <t>S1107198</t>
  </si>
  <si>
    <t>S1107309</t>
  </si>
  <si>
    <t>S1107320</t>
  </si>
  <si>
    <t>S1107321</t>
  </si>
  <si>
    <t>S1107322</t>
  </si>
  <si>
    <t>S1107323</t>
  </si>
  <si>
    <t>S1107325</t>
  </si>
  <si>
    <t>S1106999</t>
  </si>
  <si>
    <t>S1107208</t>
  </si>
  <si>
    <t>Mass Location</t>
  </si>
  <si>
    <t>Mass Budget - Mass type</t>
  </si>
  <si>
    <t>L4C - C2</t>
  </si>
  <si>
    <t>L4C - C1</t>
  </si>
  <si>
    <t>L4C - ext - C3</t>
  </si>
  <si>
    <t>GS-13 - C3</t>
  </si>
  <si>
    <t>GS-13 - C1</t>
  </si>
  <si>
    <t>GS-13 - C2</t>
  </si>
  <si>
    <t>ST1 - H3 - ext - C3</t>
  </si>
  <si>
    <t>ST2 - V1 - ext - C1</t>
  </si>
  <si>
    <t>ST2 - H3 - ext - C3</t>
  </si>
  <si>
    <t>ST1 - H2 - ext</t>
  </si>
  <si>
    <t>ST2 - V2 - ext</t>
  </si>
  <si>
    <t>ST1 - V3 - ext</t>
  </si>
  <si>
    <t>ST2 - H2 - ext</t>
  </si>
  <si>
    <t>ST1 - V1 - ext</t>
  </si>
  <si>
    <t>ST2 - V3 - ext</t>
  </si>
  <si>
    <t>ST1 - H1 - ext</t>
  </si>
  <si>
    <t>ST1 - V2 - ext</t>
  </si>
  <si>
    <t xml:space="preserve">ST1 - H1 </t>
  </si>
  <si>
    <t>S1107101</t>
  </si>
  <si>
    <t>S1107230</t>
  </si>
  <si>
    <t>Trill - C3</t>
  </si>
  <si>
    <t>S1107236</t>
  </si>
  <si>
    <t>Trill - C2</t>
  </si>
  <si>
    <t>S1107238</t>
  </si>
  <si>
    <t>Trill - C1</t>
  </si>
  <si>
    <t>GS-13 - ext - C2</t>
  </si>
  <si>
    <t>L4C - ext - C1</t>
  </si>
  <si>
    <t>L4C - ext - C2</t>
  </si>
  <si>
    <t>GS-13 - ext - C3</t>
  </si>
  <si>
    <t>GS-13 - ext - C1</t>
  </si>
  <si>
    <t>ST2 - H1 - ext</t>
  </si>
  <si>
    <t>12959</t>
  </si>
  <si>
    <t>12958</t>
  </si>
  <si>
    <t>13444</t>
  </si>
  <si>
    <t>12895</t>
  </si>
  <si>
    <t>12948</t>
  </si>
  <si>
    <t>12961</t>
  </si>
  <si>
    <t>13430</t>
  </si>
  <si>
    <t>12904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</si>
</sst>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0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000000"/>
      <name val="Arial"/>
      <family val="2"/>
    </font>
    <font>
      <sz val="2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CCECFF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>
      <alignment horizontal="center"/>
    </xf>
    <xf numFmtId="0" fontId="10" fillId="0" borderId="0" xfId="0" applyFont="1"/>
    <xf numFmtId="49" fontId="5" fillId="0" borderId="1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Font="1" applyBorder="1"/>
    <xf numFmtId="0" fontId="6" fillId="0" borderId="1" xfId="0" applyFont="1" applyBorder="1"/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0" borderId="2" xfId="0" applyFont="1" applyBorder="1"/>
    <xf numFmtId="0" fontId="8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8" fillId="0" borderId="12" xfId="0" applyFont="1" applyBorder="1"/>
    <xf numFmtId="1" fontId="0" fillId="0" borderId="3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8" fillId="0" borderId="5" xfId="0" applyFont="1" applyBorder="1"/>
    <xf numFmtId="1" fontId="0" fillId="0" borderId="3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8" fillId="0" borderId="7" xfId="0" applyFont="1" applyBorder="1"/>
    <xf numFmtId="1" fontId="0" fillId="0" borderId="3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0" xfId="0" applyNumberFormat="1"/>
    <xf numFmtId="0" fontId="0" fillId="0" borderId="0" xfId="0"/>
    <xf numFmtId="2" fontId="0" fillId="0" borderId="0" xfId="0" applyNumberFormat="1"/>
    <xf numFmtId="0" fontId="8" fillId="0" borderId="19" xfId="0" applyFont="1" applyBorder="1"/>
    <xf numFmtId="0" fontId="0" fillId="0" borderId="3" xfId="0" applyBorder="1"/>
    <xf numFmtId="0" fontId="8" fillId="0" borderId="15" xfId="0" applyFont="1" applyBorder="1"/>
    <xf numFmtId="0" fontId="0" fillId="0" borderId="5" xfId="0" applyBorder="1"/>
    <xf numFmtId="0" fontId="8" fillId="0" borderId="16" xfId="0" applyFont="1" applyBorder="1"/>
    <xf numFmtId="0" fontId="0" fillId="0" borderId="7" xfId="0" applyBorder="1"/>
    <xf numFmtId="1" fontId="6" fillId="0" borderId="2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/>
    <xf numFmtId="0" fontId="8" fillId="0" borderId="44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13" fillId="0" borderId="55" xfId="0" applyNumberFormat="1" applyFon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13" fillId="0" borderId="49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54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/>
    <xf numFmtId="164" fontId="0" fillId="0" borderId="2" xfId="0" applyNumberFormat="1" applyFont="1" applyBorder="1" applyAlignment="1">
      <alignment horizontal="center"/>
    </xf>
    <xf numFmtId="0" fontId="15" fillId="0" borderId="0" xfId="0" applyFont="1"/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16" fillId="0" borderId="5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1" fontId="19" fillId="0" borderId="61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2" xfId="0" applyBorder="1"/>
    <xf numFmtId="0" fontId="0" fillId="0" borderId="3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20" fillId="0" borderId="0" xfId="0" applyFont="1"/>
    <xf numFmtId="0" fontId="0" fillId="0" borderId="17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5" fontId="0" fillId="0" borderId="4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8" fillId="0" borderId="44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0" fillId="0" borderId="21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1" fillId="0" borderId="0" xfId="0" applyFont="1"/>
    <xf numFmtId="0" fontId="21" fillId="0" borderId="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0" xfId="0" applyFont="1" applyBorder="1" applyAlignment="1"/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/>
    <xf numFmtId="0" fontId="8" fillId="0" borderId="5" xfId="0" applyFont="1" applyFill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164" fontId="0" fillId="0" borderId="1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5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14" fontId="26" fillId="0" borderId="53" xfId="1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14" fontId="26" fillId="0" borderId="6" xfId="1" applyNumberFormat="1" applyFont="1" applyFill="1" applyBorder="1" applyAlignment="1">
      <alignment horizontal="center"/>
    </xf>
    <xf numFmtId="0" fontId="26" fillId="0" borderId="6" xfId="1" applyFont="1" applyFill="1" applyBorder="1" applyAlignment="1">
      <alignment horizontal="center"/>
    </xf>
    <xf numFmtId="15" fontId="0" fillId="0" borderId="0" xfId="0" applyNumberFormat="1" applyFont="1"/>
    <xf numFmtId="0" fontId="8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51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1" fontId="0" fillId="4" borderId="12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16" fontId="0" fillId="0" borderId="0" xfId="0" applyNumberFormat="1"/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8" fillId="0" borderId="0" xfId="0" applyFont="1"/>
    <xf numFmtId="0" fontId="0" fillId="0" borderId="0" xfId="0" applyFill="1" applyBorder="1"/>
    <xf numFmtId="0" fontId="0" fillId="4" borderId="55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" fontId="0" fillId="0" borderId="13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9" fillId="0" borderId="0" xfId="0" applyFont="1"/>
    <xf numFmtId="1" fontId="26" fillId="5" borderId="0" xfId="0" applyNumberFormat="1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26" fillId="5" borderId="0" xfId="1" applyNumberFormat="1" applyFont="1" applyFill="1" applyBorder="1" applyAlignment="1">
      <alignment horizontal="center"/>
    </xf>
    <xf numFmtId="0" fontId="0" fillId="5" borderId="0" xfId="0" applyFill="1" applyBorder="1"/>
    <xf numFmtId="1" fontId="0" fillId="0" borderId="23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8" fillId="0" borderId="45" xfId="0" applyFont="1" applyBorder="1"/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" fontId="0" fillId="0" borderId="48" xfId="0" applyNumberFormat="1" applyFont="1" applyBorder="1"/>
    <xf numFmtId="0" fontId="8" fillId="0" borderId="40" xfId="0" applyFon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5" xfId="0" applyFont="1" applyBorder="1"/>
    <xf numFmtId="0" fontId="0" fillId="0" borderId="12" xfId="0" applyFont="1" applyBorder="1"/>
    <xf numFmtId="14" fontId="26" fillId="0" borderId="8" xfId="1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6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4" fillId="7" borderId="2" xfId="0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/>
    </xf>
    <xf numFmtId="0" fontId="27" fillId="7" borderId="7" xfId="0" applyFont="1" applyFill="1" applyBorder="1" applyAlignment="1">
      <alignment horizontal="center"/>
    </xf>
    <xf numFmtId="1" fontId="26" fillId="7" borderId="52" xfId="1" applyNumberFormat="1" applyFont="1" applyFill="1" applyBorder="1" applyAlignment="1">
      <alignment horizontal="center"/>
    </xf>
    <xf numFmtId="1" fontId="24" fillId="7" borderId="44" xfId="0" applyNumberFormat="1" applyFont="1" applyFill="1" applyBorder="1" applyAlignment="1">
      <alignment horizontal="center" vertical="center"/>
    </xf>
    <xf numFmtId="1" fontId="26" fillId="7" borderId="23" xfId="0" applyNumberFormat="1" applyFont="1" applyFill="1" applyBorder="1" applyAlignment="1">
      <alignment horizontal="center"/>
    </xf>
    <xf numFmtId="1" fontId="26" fillId="7" borderId="0" xfId="0" applyNumberFormat="1" applyFont="1" applyFill="1" applyBorder="1" applyAlignment="1">
      <alignment horizontal="center"/>
    </xf>
    <xf numFmtId="1" fontId="26" fillId="7" borderId="21" xfId="0" applyNumberFormat="1" applyFont="1" applyFill="1" applyBorder="1" applyAlignment="1">
      <alignment horizontal="center"/>
    </xf>
    <xf numFmtId="1" fontId="26" fillId="7" borderId="21" xfId="1" applyNumberFormat="1" applyFont="1" applyFill="1" applyBorder="1" applyAlignment="1">
      <alignment horizontal="center"/>
    </xf>
    <xf numFmtId="1" fontId="26" fillId="7" borderId="22" xfId="1" applyNumberFormat="1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25" fillId="7" borderId="51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right" vertical="center" textRotation="90"/>
    </xf>
    <xf numFmtId="0" fontId="8" fillId="0" borderId="2" xfId="0" applyFont="1" applyBorder="1" applyAlignment="1">
      <alignment horizontal="center"/>
    </xf>
    <xf numFmtId="166" fontId="0" fillId="0" borderId="1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47" xfId="0" applyBorder="1" applyAlignment="1">
      <alignment horizontal="left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166" fontId="0" fillId="0" borderId="44" xfId="0" applyNumberForma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568440</xdr:colOff>
      <xdr:row>305</xdr:row>
      <xdr:rowOff>35640</xdr:rowOff>
    </xdr:from>
    <xdr:to>
      <xdr:col>26</xdr:col>
      <xdr:colOff>569865</xdr:colOff>
      <xdr:row>362</xdr:row>
      <xdr:rowOff>38160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70920" y="53503200"/>
          <a:ext cx="8857440" cy="10099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1"/>
  <sheetViews>
    <sheetView tabSelected="1" topLeftCell="A24" zoomScale="70" zoomScaleNormal="70" zoomScalePageLayoutView="60" workbookViewId="0">
      <selection activeCell="H27" sqref="H27:J39"/>
    </sheetView>
  </sheetViews>
  <sheetFormatPr defaultRowHeight="15"/>
  <cols>
    <col min="1" max="1" width="29.42578125" style="1"/>
    <col min="2" max="2" width="15.28515625" style="1" bestFit="1" customWidth="1"/>
    <col min="3" max="3" width="9.28515625" style="2"/>
    <col min="4" max="4" width="17"/>
    <col min="5" max="5" width="21"/>
    <col min="6" max="6" width="13" customWidth="1"/>
    <col min="7" max="7" width="9.5703125" bestFit="1" customWidth="1"/>
    <col min="8" max="8" width="21.7109375"/>
    <col min="9" max="9" width="14"/>
    <col min="10" max="10" width="13.5703125" bestFit="1" customWidth="1"/>
    <col min="11" max="11" width="24.140625"/>
    <col min="12" max="12" width="8.28515625" bestFit="1" customWidth="1"/>
    <col min="13" max="13" width="22.28515625"/>
    <col min="14" max="14" width="8.5703125"/>
    <col min="15" max="15" width="7.140625"/>
    <col min="16" max="16" width="11.85546875"/>
    <col min="17" max="17" width="22.28515625"/>
    <col min="18" max="18" width="14.7109375" customWidth="1"/>
    <col min="19" max="22" width="8.5703125"/>
    <col min="23" max="23" width="27.140625" bestFit="1" customWidth="1"/>
    <col min="24" max="1025" width="8.5703125"/>
  </cols>
  <sheetData>
    <row r="1" spans="1:13" ht="28.5">
      <c r="A1" s="3" t="s">
        <v>485</v>
      </c>
    </row>
    <row r="3" spans="1:13">
      <c r="A3" s="1" t="s">
        <v>0</v>
      </c>
    </row>
    <row r="4" spans="1:13" ht="15.75">
      <c r="A4" s="520" t="s">
        <v>1</v>
      </c>
      <c r="B4" s="520"/>
      <c r="C4" s="4" t="s">
        <v>2</v>
      </c>
      <c r="D4" s="4" t="s">
        <v>3</v>
      </c>
    </row>
    <row r="5" spans="1:13">
      <c r="A5" s="516" t="s">
        <v>4</v>
      </c>
      <c r="B5" s="516"/>
      <c r="C5" s="521" t="s">
        <v>5</v>
      </c>
      <c r="D5" s="5" t="s">
        <v>486</v>
      </c>
    </row>
    <row r="6" spans="1:13">
      <c r="A6" s="518" t="s">
        <v>6</v>
      </c>
      <c r="B6" s="518"/>
      <c r="C6" s="521"/>
      <c r="D6" s="6" t="s">
        <v>7</v>
      </c>
    </row>
    <row r="7" spans="1:13">
      <c r="A7" s="519" t="s">
        <v>8</v>
      </c>
      <c r="B7" s="519"/>
      <c r="C7" s="521"/>
      <c r="D7" s="7" t="s">
        <v>9</v>
      </c>
    </row>
    <row r="8" spans="1:13">
      <c r="A8" s="516" t="s">
        <v>10</v>
      </c>
      <c r="B8" s="516"/>
      <c r="C8" s="521" t="s">
        <v>11</v>
      </c>
      <c r="D8" s="5" t="s">
        <v>12</v>
      </c>
    </row>
    <row r="9" spans="1:13">
      <c r="A9" s="518" t="s">
        <v>13</v>
      </c>
      <c r="B9" s="518"/>
      <c r="C9" s="521"/>
      <c r="D9" s="6" t="s">
        <v>14</v>
      </c>
    </row>
    <row r="10" spans="1:13">
      <c r="A10" s="519" t="s">
        <v>15</v>
      </c>
      <c r="B10" s="519"/>
      <c r="C10" s="521"/>
      <c r="D10" s="7" t="s">
        <v>16</v>
      </c>
    </row>
    <row r="11" spans="1:13" ht="15.75">
      <c r="A11" s="515" t="s">
        <v>17</v>
      </c>
      <c r="B11" s="515"/>
      <c r="C11" s="9" t="s">
        <v>18</v>
      </c>
      <c r="D11" s="9" t="s">
        <v>19</v>
      </c>
    </row>
    <row r="12" spans="1:13">
      <c r="A12" s="522" t="s">
        <v>20</v>
      </c>
      <c r="B12" s="522"/>
      <c r="C12" s="521" t="s">
        <v>21</v>
      </c>
      <c r="D12" s="451" t="s">
        <v>22</v>
      </c>
    </row>
    <row r="13" spans="1:13" ht="15.75">
      <c r="A13" s="523" t="s">
        <v>20</v>
      </c>
      <c r="B13" s="523"/>
      <c r="C13" s="521"/>
      <c r="D13" s="450" t="s">
        <v>487</v>
      </c>
    </row>
    <row r="14" spans="1:13" ht="15.75">
      <c r="A14" s="515" t="s">
        <v>23</v>
      </c>
      <c r="B14" s="515"/>
      <c r="C14" s="446" t="s">
        <v>24</v>
      </c>
      <c r="D14" s="447" t="s">
        <v>25</v>
      </c>
    </row>
    <row r="15" spans="1:13" ht="15.75">
      <c r="A15" s="524" t="s">
        <v>26</v>
      </c>
      <c r="B15" s="524"/>
      <c r="C15" s="517" t="s">
        <v>27</v>
      </c>
      <c r="D15" s="448" t="s">
        <v>488</v>
      </c>
    </row>
    <row r="16" spans="1:13" ht="15.75">
      <c r="A16" s="525" t="s">
        <v>28</v>
      </c>
      <c r="B16" s="525"/>
      <c r="C16" s="517"/>
      <c r="D16" s="449" t="s">
        <v>29</v>
      </c>
      <c r="H16" s="10"/>
      <c r="I16" s="10"/>
      <c r="J16" s="10"/>
      <c r="K16" s="10"/>
      <c r="L16" s="11"/>
      <c r="M16" s="11"/>
    </row>
    <row r="17" spans="1:13" ht="15.75">
      <c r="A17" s="526" t="s">
        <v>30</v>
      </c>
      <c r="B17" s="526"/>
      <c r="C17" s="517"/>
      <c r="D17" s="450" t="s">
        <v>31</v>
      </c>
      <c r="H17" s="10"/>
      <c r="I17" s="10"/>
      <c r="J17" s="10"/>
      <c r="K17" s="10"/>
      <c r="L17" s="11"/>
      <c r="M17" s="11"/>
    </row>
    <row r="18" spans="1:13" ht="15.75">
      <c r="A18" s="515" t="s">
        <v>32</v>
      </c>
      <c r="B18" s="515"/>
      <c r="C18" s="8" t="s">
        <v>33</v>
      </c>
      <c r="D18" s="8"/>
      <c r="H18" s="12"/>
      <c r="I18" s="10"/>
      <c r="J18" s="10"/>
      <c r="K18" s="10"/>
      <c r="L18" s="11"/>
      <c r="M18" s="11"/>
    </row>
    <row r="19" spans="1:13" ht="15.75">
      <c r="A19" s="516" t="s">
        <v>34</v>
      </c>
      <c r="B19" s="516"/>
      <c r="C19" s="517" t="s">
        <v>35</v>
      </c>
      <c r="D19" s="448" t="s">
        <v>36</v>
      </c>
      <c r="H19" s="12"/>
      <c r="I19" s="10"/>
      <c r="J19" s="10"/>
      <c r="K19" s="10"/>
      <c r="L19" s="10"/>
      <c r="M19" s="10"/>
    </row>
    <row r="20" spans="1:13" ht="15.75">
      <c r="A20" s="518" t="s">
        <v>37</v>
      </c>
      <c r="B20" s="518"/>
      <c r="C20" s="517"/>
      <c r="D20" s="449" t="s">
        <v>38</v>
      </c>
      <c r="H20" s="12"/>
      <c r="I20" s="10"/>
      <c r="J20" s="10"/>
      <c r="K20" s="10"/>
      <c r="L20" s="10"/>
      <c r="M20" s="10"/>
    </row>
    <row r="21" spans="1:13" ht="15.75">
      <c r="A21" s="519" t="s">
        <v>39</v>
      </c>
      <c r="B21" s="519"/>
      <c r="C21" s="517"/>
      <c r="D21" s="450" t="s">
        <v>489</v>
      </c>
    </row>
    <row r="22" spans="1:13">
      <c r="A22" s="513"/>
      <c r="B22" s="513"/>
      <c r="C22" s="14"/>
      <c r="D22" s="10"/>
      <c r="E22" s="10"/>
    </row>
    <row r="23" spans="1:13">
      <c r="A23" s="514"/>
      <c r="B23" s="514"/>
      <c r="C23" s="15"/>
      <c r="D23" s="10"/>
      <c r="E23" s="10"/>
    </row>
    <row r="24" spans="1:13">
      <c r="A24" s="514"/>
      <c r="B24" s="514"/>
      <c r="C24" s="15"/>
      <c r="D24" s="10"/>
      <c r="E24" s="10"/>
    </row>
    <row r="25" spans="1:13">
      <c r="A25" s="514"/>
      <c r="B25" s="514"/>
      <c r="C25" s="15"/>
      <c r="D25" s="10"/>
      <c r="E25" s="10"/>
    </row>
    <row r="27" spans="1:13" ht="15.75" thickBot="1">
      <c r="H27" s="16" t="s">
        <v>40</v>
      </c>
      <c r="I27" s="16" t="s">
        <v>41</v>
      </c>
      <c r="J27" s="16" t="s">
        <v>42</v>
      </c>
    </row>
    <row r="28" spans="1:13" ht="15.75" thickBot="1">
      <c r="A28" s="510" t="s">
        <v>43</v>
      </c>
      <c r="B28" s="511"/>
      <c r="C28" s="510" t="s">
        <v>44</v>
      </c>
      <c r="D28" s="511"/>
      <c r="H28" s="17" t="s">
        <v>45</v>
      </c>
      <c r="I28" s="17" t="s">
        <v>46</v>
      </c>
      <c r="J28" s="17">
        <v>6.4</v>
      </c>
    </row>
    <row r="29" spans="1:13" ht="15.75" thickBot="1">
      <c r="A29" s="18" t="s">
        <v>40</v>
      </c>
      <c r="B29" s="19" t="s">
        <v>47</v>
      </c>
      <c r="C29" s="18" t="s">
        <v>40</v>
      </c>
      <c r="D29" s="19" t="s">
        <v>47</v>
      </c>
      <c r="H29" s="20" t="s">
        <v>48</v>
      </c>
      <c r="I29" s="20" t="s">
        <v>49</v>
      </c>
      <c r="J29" s="20">
        <v>10.1</v>
      </c>
    </row>
    <row r="30" spans="1:13" ht="15.75">
      <c r="A30" s="21" t="s">
        <v>50</v>
      </c>
      <c r="B30" s="22" t="s">
        <v>494</v>
      </c>
      <c r="C30" s="23" t="s">
        <v>52</v>
      </c>
      <c r="D30" s="24" t="s">
        <v>63</v>
      </c>
      <c r="H30" s="20" t="s">
        <v>54</v>
      </c>
      <c r="I30" s="20" t="s">
        <v>55</v>
      </c>
      <c r="J30" s="20">
        <v>10.1</v>
      </c>
    </row>
    <row r="31" spans="1:13" ht="16.5" thickBot="1">
      <c r="A31" s="23" t="s">
        <v>56</v>
      </c>
      <c r="B31" s="24" t="s">
        <v>495</v>
      </c>
      <c r="C31" s="23" t="s">
        <v>58</v>
      </c>
      <c r="D31" s="24" t="s">
        <v>57</v>
      </c>
      <c r="H31" s="25" t="s">
        <v>60</v>
      </c>
      <c r="I31" s="25" t="s">
        <v>61</v>
      </c>
      <c r="J31" s="25">
        <v>6.3</v>
      </c>
    </row>
    <row r="32" spans="1:13" ht="15.75">
      <c r="A32" s="23" t="s">
        <v>62</v>
      </c>
      <c r="B32" s="24" t="s">
        <v>496</v>
      </c>
      <c r="C32" s="23" t="s">
        <v>64</v>
      </c>
      <c r="D32" s="24" t="s">
        <v>500</v>
      </c>
      <c r="H32" s="17" t="s">
        <v>66</v>
      </c>
      <c r="I32" s="17" t="s">
        <v>67</v>
      </c>
      <c r="J32" s="17">
        <v>6.4</v>
      </c>
    </row>
    <row r="33" spans="1:16" ht="15.75">
      <c r="A33" s="23" t="s">
        <v>68</v>
      </c>
      <c r="B33" s="24" t="s">
        <v>497</v>
      </c>
      <c r="C33" s="23" t="s">
        <v>70</v>
      </c>
      <c r="D33" s="24" t="s">
        <v>501</v>
      </c>
      <c r="H33" s="20" t="s">
        <v>72</v>
      </c>
      <c r="I33" s="20" t="s">
        <v>73</v>
      </c>
      <c r="J33" s="20">
        <v>10.1</v>
      </c>
    </row>
    <row r="34" spans="1:16" ht="15.75">
      <c r="A34" s="23" t="s">
        <v>74</v>
      </c>
      <c r="B34" s="24" t="s">
        <v>498</v>
      </c>
      <c r="C34" s="23" t="s">
        <v>76</v>
      </c>
      <c r="D34" s="24" t="s">
        <v>502</v>
      </c>
      <c r="H34" s="20" t="s">
        <v>78</v>
      </c>
      <c r="I34" s="20" t="s">
        <v>79</v>
      </c>
      <c r="J34" s="20">
        <v>10.1</v>
      </c>
    </row>
    <row r="35" spans="1:16" ht="16.5" thickBot="1">
      <c r="A35" s="26" t="s">
        <v>80</v>
      </c>
      <c r="B35" s="27" t="s">
        <v>499</v>
      </c>
      <c r="C35" s="26" t="s">
        <v>82</v>
      </c>
      <c r="D35" s="27" t="s">
        <v>503</v>
      </c>
      <c r="H35" s="25" t="s">
        <v>84</v>
      </c>
      <c r="I35" s="25" t="s">
        <v>67</v>
      </c>
      <c r="J35" s="25">
        <v>6.4</v>
      </c>
    </row>
    <row r="36" spans="1:16">
      <c r="H36" s="28" t="s">
        <v>85</v>
      </c>
      <c r="I36" s="28" t="s">
        <v>86</v>
      </c>
      <c r="J36" s="28">
        <v>6.4</v>
      </c>
    </row>
    <row r="37" spans="1:16" ht="18">
      <c r="A37" s="29" t="s">
        <v>87</v>
      </c>
      <c r="H37" s="20" t="s">
        <v>88</v>
      </c>
      <c r="I37" s="20" t="s">
        <v>89</v>
      </c>
      <c r="J37" s="20">
        <v>10.1</v>
      </c>
      <c r="L37" s="10"/>
      <c r="M37" s="10"/>
      <c r="N37" s="10"/>
      <c r="O37" s="10"/>
      <c r="P37" s="10"/>
    </row>
    <row r="38" spans="1:16">
      <c r="H38" s="20" t="s">
        <v>90</v>
      </c>
      <c r="I38" s="20" t="s">
        <v>91</v>
      </c>
      <c r="J38" s="20">
        <v>10</v>
      </c>
      <c r="L38" s="10"/>
      <c r="M38" s="377"/>
      <c r="N38" s="377"/>
      <c r="O38" s="378"/>
      <c r="P38" s="10"/>
    </row>
    <row r="39" spans="1:16" ht="15.75" thickBot="1">
      <c r="A39" s="18" t="s">
        <v>93</v>
      </c>
      <c r="B39" s="31" t="s">
        <v>94</v>
      </c>
      <c r="C39" s="361" t="s">
        <v>95</v>
      </c>
      <c r="D39" s="380"/>
      <c r="H39" s="25" t="s">
        <v>96</v>
      </c>
      <c r="I39" s="25" t="s">
        <v>97</v>
      </c>
      <c r="J39" s="25">
        <v>6.3</v>
      </c>
      <c r="L39" s="10"/>
      <c r="M39" s="377"/>
      <c r="N39" s="377"/>
      <c r="O39" s="378"/>
      <c r="P39" s="10"/>
    </row>
    <row r="40" spans="1:16">
      <c r="A40" s="32" t="s">
        <v>100</v>
      </c>
      <c r="B40" s="93">
        <v>12951</v>
      </c>
      <c r="C40" s="387">
        <v>12339</v>
      </c>
      <c r="D40" s="380"/>
      <c r="L40" s="10"/>
      <c r="M40" s="377"/>
      <c r="N40" s="377"/>
      <c r="O40" s="379"/>
      <c r="P40" s="10"/>
    </row>
    <row r="41" spans="1:16" ht="15.75" thickBot="1">
      <c r="A41" s="35" t="s">
        <v>101</v>
      </c>
      <c r="B41" s="96">
        <v>13235</v>
      </c>
      <c r="C41" s="388">
        <v>12410</v>
      </c>
      <c r="D41" s="380"/>
      <c r="L41" s="10"/>
      <c r="M41" s="377"/>
      <c r="N41" s="377"/>
      <c r="O41" s="378"/>
      <c r="P41" s="10"/>
    </row>
    <row r="42" spans="1:16" ht="15.75" thickBot="1">
      <c r="A42" s="35" t="s">
        <v>102</v>
      </c>
      <c r="B42" s="393" t="s">
        <v>572</v>
      </c>
      <c r="C42" s="388">
        <v>12384</v>
      </c>
      <c r="D42" s="380"/>
      <c r="H42" s="127" t="s">
        <v>40</v>
      </c>
      <c r="I42" s="407" t="s">
        <v>42</v>
      </c>
      <c r="J42" s="406"/>
      <c r="L42" s="10"/>
      <c r="M42" s="377"/>
      <c r="N42" s="377"/>
      <c r="O42" s="379"/>
      <c r="P42" s="10"/>
    </row>
    <row r="43" spans="1:16">
      <c r="A43" s="35" t="s">
        <v>103</v>
      </c>
      <c r="B43" s="392" t="s">
        <v>573</v>
      </c>
      <c r="C43" s="388">
        <v>12341</v>
      </c>
      <c r="D43" s="380"/>
      <c r="H43" s="129" t="s">
        <v>45</v>
      </c>
      <c r="I43" s="413"/>
      <c r="J43" s="406"/>
      <c r="L43" s="10"/>
      <c r="M43" s="377"/>
      <c r="N43" s="377"/>
      <c r="O43" s="378"/>
      <c r="P43" s="10"/>
    </row>
    <row r="44" spans="1:16">
      <c r="A44" s="35" t="s">
        <v>106</v>
      </c>
      <c r="B44" s="392" t="s">
        <v>574</v>
      </c>
      <c r="C44" s="389">
        <v>12424</v>
      </c>
      <c r="D44" s="380"/>
      <c r="F44" s="37"/>
      <c r="H44" s="131" t="s">
        <v>66</v>
      </c>
      <c r="I44" s="414"/>
      <c r="J44" s="406"/>
      <c r="L44" s="10"/>
      <c r="M44" s="377"/>
      <c r="N44" s="377"/>
      <c r="O44" s="378"/>
      <c r="P44" s="10"/>
    </row>
    <row r="45" spans="1:16" ht="15.75" thickBot="1">
      <c r="A45" s="52" t="s">
        <v>109</v>
      </c>
      <c r="B45" s="394" t="s">
        <v>575</v>
      </c>
      <c r="C45" s="390">
        <v>12826</v>
      </c>
      <c r="D45" s="380"/>
      <c r="F45" s="37"/>
      <c r="H45" s="131" t="s">
        <v>85</v>
      </c>
      <c r="I45" s="414"/>
      <c r="J45" s="406"/>
      <c r="L45" s="10"/>
      <c r="M45" s="377"/>
      <c r="N45" s="377"/>
      <c r="O45" s="378"/>
      <c r="P45" s="10"/>
    </row>
    <row r="46" spans="1:16" ht="15.75" thickBot="1">
      <c r="A46" s="360"/>
      <c r="B46" s="381"/>
      <c r="C46" s="39"/>
      <c r="D46" s="40"/>
      <c r="H46" s="131" t="s">
        <v>60</v>
      </c>
      <c r="I46" s="414"/>
      <c r="J46" s="406"/>
      <c r="L46" s="10"/>
      <c r="M46" s="377"/>
      <c r="N46" s="377"/>
      <c r="O46" s="378"/>
      <c r="P46" s="10"/>
    </row>
    <row r="47" spans="1:16" ht="15.75" thickBot="1">
      <c r="A47" s="18" t="s">
        <v>114</v>
      </c>
      <c r="B47" s="31" t="s">
        <v>94</v>
      </c>
      <c r="C47" s="361" t="s">
        <v>95</v>
      </c>
      <c r="D47" s="380"/>
      <c r="H47" s="131" t="s">
        <v>84</v>
      </c>
      <c r="I47" s="414"/>
      <c r="J47" s="406"/>
      <c r="L47" s="10"/>
      <c r="M47" s="377"/>
      <c r="N47" s="377"/>
      <c r="O47" s="378"/>
      <c r="P47" s="10"/>
    </row>
    <row r="48" spans="1:16" ht="15.75" thickBot="1">
      <c r="A48" s="32" t="s">
        <v>100</v>
      </c>
      <c r="B48" s="391" t="s">
        <v>576</v>
      </c>
      <c r="C48" s="387">
        <v>13076</v>
      </c>
      <c r="D48" s="380"/>
      <c r="H48" s="198" t="s">
        <v>96</v>
      </c>
      <c r="I48" s="415"/>
      <c r="J48" s="406"/>
      <c r="L48" s="10"/>
      <c r="M48" s="377"/>
      <c r="N48" s="377"/>
      <c r="O48" s="378"/>
      <c r="P48" s="10"/>
    </row>
    <row r="49" spans="1:16">
      <c r="A49" s="35" t="s">
        <v>101</v>
      </c>
      <c r="B49" s="392" t="s">
        <v>577</v>
      </c>
      <c r="C49" s="388">
        <v>12430</v>
      </c>
      <c r="D49" s="380"/>
      <c r="H49" s="129" t="s">
        <v>48</v>
      </c>
      <c r="I49" s="413"/>
      <c r="J49" s="406"/>
      <c r="L49" s="10"/>
      <c r="M49" s="377"/>
      <c r="N49" s="377"/>
      <c r="O49" s="378"/>
      <c r="P49" s="10"/>
    </row>
    <row r="50" spans="1:16">
      <c r="A50" s="35" t="s">
        <v>102</v>
      </c>
      <c r="B50" s="393" t="s">
        <v>578</v>
      </c>
      <c r="C50" s="389">
        <v>12576</v>
      </c>
      <c r="D50" s="380"/>
      <c r="H50" s="131" t="s">
        <v>72</v>
      </c>
      <c r="I50" s="414"/>
      <c r="J50" s="406"/>
    </row>
    <row r="51" spans="1:16">
      <c r="A51" s="35" t="s">
        <v>103</v>
      </c>
      <c r="B51" s="392" t="s">
        <v>579</v>
      </c>
      <c r="C51" s="389">
        <v>12335</v>
      </c>
      <c r="D51" s="380"/>
      <c r="H51" s="131" t="s">
        <v>88</v>
      </c>
      <c r="I51" s="414"/>
      <c r="J51" s="406"/>
    </row>
    <row r="52" spans="1:16">
      <c r="A52" s="35" t="s">
        <v>106</v>
      </c>
      <c r="B52" s="96">
        <v>12892</v>
      </c>
      <c r="C52" s="389">
        <v>13064</v>
      </c>
      <c r="D52" s="380"/>
      <c r="H52" s="131" t="s">
        <v>54</v>
      </c>
      <c r="I52" s="414"/>
      <c r="J52" s="406"/>
    </row>
    <row r="53" spans="1:16" ht="15.75" thickBot="1">
      <c r="A53" s="52" t="s">
        <v>109</v>
      </c>
      <c r="B53" s="99">
        <v>12945</v>
      </c>
      <c r="C53" s="390">
        <v>12451</v>
      </c>
      <c r="D53" s="380"/>
      <c r="H53" s="131" t="s">
        <v>78</v>
      </c>
      <c r="I53" s="414"/>
      <c r="J53" s="406"/>
    </row>
    <row r="54" spans="1:16" ht="15.75" thickBot="1">
      <c r="H54" s="132" t="s">
        <v>90</v>
      </c>
      <c r="I54" s="416"/>
      <c r="J54" s="406"/>
    </row>
    <row r="55" spans="1:16">
      <c r="A55" s="41"/>
      <c r="B55" s="13"/>
      <c r="C55" s="39"/>
      <c r="D55" s="40"/>
    </row>
    <row r="56" spans="1:16" ht="15.75" thickBot="1"/>
    <row r="57" spans="1:16" ht="19.5" thickBot="1">
      <c r="A57" s="19" t="s">
        <v>117</v>
      </c>
      <c r="B57" s="374" t="s">
        <v>118</v>
      </c>
      <c r="C57" s="31" t="s">
        <v>119</v>
      </c>
      <c r="D57" s="38"/>
      <c r="E57" s="465" t="s">
        <v>493</v>
      </c>
      <c r="F57" s="10"/>
      <c r="G57" s="375"/>
      <c r="H57" s="375"/>
      <c r="I57" s="42"/>
      <c r="J57" s="42"/>
      <c r="K57" s="43"/>
      <c r="L57" s="44"/>
      <c r="M57" s="45"/>
      <c r="N57" s="45"/>
    </row>
    <row r="58" spans="1:16">
      <c r="A58" s="32" t="s">
        <v>100</v>
      </c>
      <c r="B58" s="386">
        <v>865</v>
      </c>
      <c r="C58" s="320">
        <v>67</v>
      </c>
      <c r="D58" s="47"/>
      <c r="E58" s="10"/>
      <c r="F58" s="10"/>
      <c r="G58" s="47"/>
      <c r="H58" s="47"/>
      <c r="I58" s="48"/>
      <c r="J58" s="48"/>
      <c r="K58" s="49"/>
      <c r="L58" s="50"/>
      <c r="M58" s="48"/>
      <c r="N58" s="48"/>
    </row>
    <row r="59" spans="1:16">
      <c r="A59" s="35" t="s">
        <v>101</v>
      </c>
      <c r="B59" s="376">
        <v>816</v>
      </c>
      <c r="C59" s="36">
        <v>92</v>
      </c>
      <c r="D59" s="47"/>
      <c r="E59" s="385"/>
      <c r="F59" s="10"/>
      <c r="G59" s="375"/>
      <c r="H59" s="375"/>
      <c r="I59" s="48"/>
      <c r="J59" s="48"/>
      <c r="K59" s="49"/>
      <c r="L59" s="50"/>
      <c r="M59" s="48"/>
      <c r="N59" s="48"/>
    </row>
    <row r="60" spans="1:16">
      <c r="A60" s="35" t="s">
        <v>102</v>
      </c>
      <c r="B60" s="376">
        <v>862</v>
      </c>
      <c r="C60" s="36">
        <v>43</v>
      </c>
      <c r="D60" s="47"/>
      <c r="E60" s="10"/>
      <c r="F60" s="10"/>
      <c r="G60" s="375"/>
      <c r="H60" s="375"/>
      <c r="I60" s="48"/>
      <c r="J60" s="48"/>
      <c r="K60" s="49"/>
      <c r="L60" s="50"/>
      <c r="M60" s="48"/>
      <c r="N60" s="48"/>
    </row>
    <row r="61" spans="1:16">
      <c r="A61" s="35" t="s">
        <v>103</v>
      </c>
      <c r="B61" s="376">
        <v>668</v>
      </c>
      <c r="C61" s="36">
        <v>51</v>
      </c>
      <c r="D61" s="135" t="s">
        <v>492</v>
      </c>
      <c r="E61" s="10"/>
      <c r="F61" s="10"/>
      <c r="G61" s="375"/>
      <c r="H61" s="375"/>
      <c r="I61" s="48"/>
      <c r="J61" s="48"/>
      <c r="K61" s="49"/>
      <c r="L61" s="50"/>
      <c r="M61" s="48"/>
      <c r="N61" s="48"/>
    </row>
    <row r="62" spans="1:16">
      <c r="A62" s="35" t="s">
        <v>106</v>
      </c>
      <c r="B62" s="376">
        <v>768</v>
      </c>
      <c r="C62" s="36">
        <v>58</v>
      </c>
      <c r="E62" s="10"/>
      <c r="F62" s="10"/>
      <c r="G62" s="375"/>
      <c r="H62" s="375"/>
      <c r="I62" s="48"/>
      <c r="J62" s="48"/>
      <c r="K62" s="49"/>
      <c r="L62" s="50"/>
      <c r="M62" s="48"/>
      <c r="N62" s="48"/>
    </row>
    <row r="63" spans="1:16" ht="15.75" thickBot="1">
      <c r="A63" s="52" t="s">
        <v>109</v>
      </c>
      <c r="B63" s="133">
        <v>750</v>
      </c>
      <c r="C63" s="53">
        <v>72</v>
      </c>
      <c r="E63" s="10"/>
      <c r="F63" s="10"/>
      <c r="G63" s="10"/>
      <c r="H63" s="10"/>
      <c r="I63" s="48"/>
      <c r="J63" s="48"/>
      <c r="K63" s="49"/>
      <c r="L63" s="50"/>
      <c r="M63" s="48"/>
      <c r="N63" s="48"/>
    </row>
    <row r="64" spans="1:16" ht="15.75" thickBot="1">
      <c r="D64" s="10"/>
      <c r="I64" s="10"/>
      <c r="J64" s="10"/>
      <c r="K64" s="10"/>
      <c r="L64" s="10"/>
      <c r="M64" s="10"/>
      <c r="N64" s="10"/>
    </row>
    <row r="65" spans="1:13" ht="15.75" thickBot="1">
      <c r="A65" s="18" t="s">
        <v>120</v>
      </c>
      <c r="B65" s="54" t="s">
        <v>118</v>
      </c>
      <c r="C65" s="31" t="s">
        <v>119</v>
      </c>
      <c r="D65" s="38"/>
      <c r="E65" s="384" t="s">
        <v>418</v>
      </c>
      <c r="G65" s="10"/>
      <c r="H65" s="48"/>
      <c r="I65" s="48"/>
      <c r="J65" s="48"/>
      <c r="K65" s="50"/>
      <c r="L65" s="48"/>
      <c r="M65" s="48"/>
    </row>
    <row r="66" spans="1:13">
      <c r="A66" s="32" t="s">
        <v>100</v>
      </c>
      <c r="B66" s="130">
        <v>1104</v>
      </c>
      <c r="C66" s="33">
        <v>96</v>
      </c>
      <c r="D66" s="47"/>
      <c r="E66" s="10"/>
      <c r="F66" s="10"/>
      <c r="G66" s="10"/>
      <c r="H66" s="48"/>
      <c r="I66" s="48"/>
      <c r="J66" s="49"/>
      <c r="K66" s="50"/>
      <c r="L66" s="48"/>
      <c r="M66" s="48"/>
    </row>
    <row r="67" spans="1:13">
      <c r="A67" s="35" t="s">
        <v>101</v>
      </c>
      <c r="B67" s="405">
        <v>1120</v>
      </c>
      <c r="C67" s="36">
        <v>94</v>
      </c>
      <c r="D67" s="47"/>
      <c r="E67" s="395"/>
      <c r="F67" s="395"/>
      <c r="G67" s="10"/>
      <c r="H67" s="48"/>
      <c r="I67" s="48"/>
      <c r="J67" s="49"/>
      <c r="K67" s="50"/>
      <c r="L67" s="48"/>
      <c r="M67" s="48"/>
    </row>
    <row r="68" spans="1:13">
      <c r="A68" s="35" t="s">
        <v>102</v>
      </c>
      <c r="B68" s="405">
        <v>961</v>
      </c>
      <c r="C68" s="36">
        <v>46</v>
      </c>
      <c r="D68" s="47"/>
      <c r="E68" s="395"/>
      <c r="F68" s="395"/>
      <c r="G68" s="10"/>
      <c r="H68" s="48"/>
      <c r="I68" s="48"/>
      <c r="J68" s="49"/>
      <c r="K68" s="50"/>
      <c r="L68" s="48"/>
      <c r="M68" s="48"/>
    </row>
    <row r="69" spans="1:13">
      <c r="A69" s="35" t="s">
        <v>103</v>
      </c>
      <c r="B69" s="405">
        <v>925</v>
      </c>
      <c r="C69" s="36">
        <v>35</v>
      </c>
      <c r="D69" s="47"/>
      <c r="E69" s="395"/>
      <c r="F69" s="395"/>
      <c r="G69" s="10"/>
      <c r="H69" s="48"/>
      <c r="I69" s="48"/>
      <c r="J69" s="49"/>
      <c r="K69" s="50"/>
      <c r="L69" s="48"/>
      <c r="M69" s="48"/>
    </row>
    <row r="70" spans="1:13">
      <c r="A70" s="35" t="s">
        <v>106</v>
      </c>
      <c r="B70" s="405">
        <v>917</v>
      </c>
      <c r="C70" s="36">
        <v>125</v>
      </c>
      <c r="D70" s="47"/>
      <c r="E70" s="395"/>
      <c r="F70" s="395"/>
      <c r="G70" s="10"/>
      <c r="H70" s="48"/>
      <c r="I70" s="48"/>
      <c r="J70" s="49"/>
      <c r="K70" s="50"/>
      <c r="L70" s="48"/>
      <c r="M70" s="48"/>
    </row>
    <row r="71" spans="1:13" ht="15.75" thickBot="1">
      <c r="A71" s="52" t="s">
        <v>109</v>
      </c>
      <c r="B71" s="133">
        <v>801</v>
      </c>
      <c r="C71" s="53">
        <v>42</v>
      </c>
      <c r="D71" s="47"/>
      <c r="E71" s="395"/>
      <c r="F71" s="395"/>
      <c r="G71" s="10"/>
      <c r="H71" s="10"/>
      <c r="I71" s="10"/>
      <c r="J71" s="10"/>
      <c r="K71" s="10"/>
      <c r="L71" s="10"/>
      <c r="M71" s="10"/>
    </row>
    <row r="72" spans="1:13" ht="15.75" thickBot="1">
      <c r="D72" s="10"/>
      <c r="E72" s="395"/>
      <c r="F72" s="395"/>
    </row>
    <row r="73" spans="1:13" ht="15.75" thickBot="1">
      <c r="A73" s="19" t="s">
        <v>121</v>
      </c>
      <c r="B73" s="374" t="s">
        <v>118</v>
      </c>
      <c r="C73" s="31" t="s">
        <v>119</v>
      </c>
      <c r="D73" s="38"/>
      <c r="E73" s="10"/>
      <c r="F73" s="10"/>
    </row>
    <row r="74" spans="1:13">
      <c r="A74" s="58">
        <v>1</v>
      </c>
      <c r="B74" s="130">
        <v>107</v>
      </c>
      <c r="C74" s="33">
        <v>37</v>
      </c>
      <c r="D74" s="47"/>
      <c r="E74" s="395"/>
      <c r="F74" s="395"/>
    </row>
    <row r="75" spans="1:13">
      <c r="A75" s="35">
        <v>2</v>
      </c>
      <c r="B75" s="376">
        <v>143</v>
      </c>
      <c r="C75" s="36">
        <v>34</v>
      </c>
      <c r="D75" s="47"/>
      <c r="E75" s="395"/>
      <c r="F75" s="395"/>
    </row>
    <row r="76" spans="1:13" ht="15.75" thickBot="1">
      <c r="A76" s="52">
        <v>3</v>
      </c>
      <c r="B76" s="133">
        <v>103</v>
      </c>
      <c r="C76" s="53">
        <v>4</v>
      </c>
      <c r="D76" s="47"/>
      <c r="E76" s="395"/>
      <c r="F76" s="395"/>
    </row>
    <row r="77" spans="1:13" ht="15.75" thickBot="1"/>
    <row r="78" spans="1:13">
      <c r="A78" s="504" t="s">
        <v>122</v>
      </c>
      <c r="B78" s="504"/>
      <c r="C78" s="504" t="s">
        <v>123</v>
      </c>
      <c r="D78" s="504"/>
    </row>
    <row r="79" spans="1:13">
      <c r="A79" s="18" t="s">
        <v>124</v>
      </c>
      <c r="B79" s="19" t="s">
        <v>125</v>
      </c>
      <c r="C79" s="18" t="s">
        <v>124</v>
      </c>
      <c r="D79" s="19" t="s">
        <v>125</v>
      </c>
    </row>
    <row r="80" spans="1:13">
      <c r="A80" s="58" t="s">
        <v>126</v>
      </c>
      <c r="B80" s="33">
        <v>122</v>
      </c>
      <c r="C80" s="58" t="s">
        <v>126</v>
      </c>
      <c r="D80" s="33">
        <v>122</v>
      </c>
    </row>
    <row r="81" spans="1:17">
      <c r="A81" s="35" t="s">
        <v>129</v>
      </c>
      <c r="B81" s="36">
        <v>122</v>
      </c>
      <c r="C81" s="35" t="s">
        <v>129</v>
      </c>
      <c r="D81" s="36">
        <v>120</v>
      </c>
    </row>
    <row r="82" spans="1:17">
      <c r="A82" s="52" t="s">
        <v>132</v>
      </c>
      <c r="B82" s="53">
        <v>127</v>
      </c>
      <c r="C82" s="52" t="s">
        <v>132</v>
      </c>
      <c r="D82" s="53">
        <v>123</v>
      </c>
    </row>
    <row r="86" spans="1:17" ht="15.75" thickBot="1">
      <c r="A86" s="62"/>
      <c r="B86" s="509"/>
      <c r="C86" s="509"/>
      <c r="D86" s="512"/>
      <c r="E86" s="512"/>
      <c r="I86" s="135" t="s">
        <v>483</v>
      </c>
      <c r="J86">
        <v>1041792635</v>
      </c>
      <c r="K86" s="135" t="s">
        <v>490</v>
      </c>
    </row>
    <row r="87" spans="1:17" ht="15.75" thickBot="1">
      <c r="A87" s="38"/>
      <c r="B87" s="507" t="s">
        <v>140</v>
      </c>
      <c r="C87" s="507"/>
      <c r="D87" s="508" t="s">
        <v>141</v>
      </c>
      <c r="E87" s="508"/>
      <c r="F87" s="504" t="s">
        <v>142</v>
      </c>
      <c r="G87" s="504"/>
      <c r="I87" s="135" t="s">
        <v>484</v>
      </c>
      <c r="J87">
        <v>1041793513</v>
      </c>
      <c r="K87" s="135" t="s">
        <v>491</v>
      </c>
      <c r="N87" s="10"/>
      <c r="O87" s="509"/>
      <c r="P87" s="509"/>
      <c r="Q87" s="10"/>
    </row>
    <row r="88" spans="1:17" ht="15.75" thickBot="1">
      <c r="A88" s="19" t="s">
        <v>143</v>
      </c>
      <c r="B88" s="31" t="s">
        <v>144</v>
      </c>
      <c r="C88" s="54" t="s">
        <v>145</v>
      </c>
      <c r="D88" s="19" t="s">
        <v>144</v>
      </c>
      <c r="E88" s="18" t="s">
        <v>145</v>
      </c>
      <c r="F88" s="31" t="s">
        <v>144</v>
      </c>
      <c r="G88" s="31" t="s">
        <v>146</v>
      </c>
      <c r="I88" s="441"/>
      <c r="N88" s="10"/>
      <c r="O88" s="10"/>
      <c r="P88" s="10"/>
      <c r="Q88" s="10"/>
    </row>
    <row r="89" spans="1:17">
      <c r="A89" s="58" t="s">
        <v>50</v>
      </c>
      <c r="B89" s="63">
        <v>178.37966099195199</v>
      </c>
      <c r="C89" s="64">
        <v>7.6995258720353901</v>
      </c>
      <c r="D89" s="65">
        <v>341.46211305074399</v>
      </c>
      <c r="E89" s="66">
        <v>39.951984874169497</v>
      </c>
      <c r="F89" s="67">
        <f t="shared" ref="F89:F100" si="0">B89-D89</f>
        <v>-163.082452058792</v>
      </c>
      <c r="G89" s="68">
        <f t="shared" ref="G89:G94" si="1">F89/840</f>
        <v>-0.19414577626046667</v>
      </c>
      <c r="I89" s="1"/>
      <c r="N89" s="10"/>
      <c r="O89" s="10"/>
      <c r="P89" s="10"/>
      <c r="Q89" s="10"/>
    </row>
    <row r="90" spans="1:17">
      <c r="A90" s="35" t="s">
        <v>56</v>
      </c>
      <c r="B90" s="69">
        <v>222.81496623531001</v>
      </c>
      <c r="C90" s="70">
        <v>6.79865511989067</v>
      </c>
      <c r="D90" s="71">
        <v>487.86643713340197</v>
      </c>
      <c r="E90" s="72">
        <v>28.085407259562</v>
      </c>
      <c r="F90" s="73">
        <f t="shared" si="0"/>
        <v>-265.05147089809196</v>
      </c>
      <c r="G90" s="74">
        <f t="shared" si="1"/>
        <v>-0.31553746535487137</v>
      </c>
      <c r="I90" s="1"/>
      <c r="N90" s="10"/>
      <c r="O90" s="10"/>
      <c r="P90" s="10"/>
      <c r="Q90" s="10"/>
    </row>
    <row r="91" spans="1:17">
      <c r="A91" s="35" t="s">
        <v>62</v>
      </c>
      <c r="B91" s="69">
        <v>-337.00750742480199</v>
      </c>
      <c r="C91" s="70">
        <v>7.4262827190974603</v>
      </c>
      <c r="D91" s="71">
        <v>11.5771374584527</v>
      </c>
      <c r="E91" s="72">
        <v>26.310712921131199</v>
      </c>
      <c r="F91" s="73">
        <f t="shared" si="0"/>
        <v>-348.58464488325467</v>
      </c>
      <c r="G91" s="74">
        <f t="shared" si="1"/>
        <v>-0.41498172009911272</v>
      </c>
      <c r="N91" s="10"/>
      <c r="O91" s="38"/>
      <c r="P91" s="10"/>
      <c r="Q91" s="10"/>
    </row>
    <row r="92" spans="1:17">
      <c r="A92" s="35" t="s">
        <v>68</v>
      </c>
      <c r="B92" s="69">
        <v>30.848709662677699</v>
      </c>
      <c r="C92" s="70">
        <v>5.4916971417401204</v>
      </c>
      <c r="D92" s="71">
        <v>-439.137000758201</v>
      </c>
      <c r="E92" s="72">
        <v>30.096455242117699</v>
      </c>
      <c r="F92" s="73">
        <f t="shared" si="0"/>
        <v>469.98571042087872</v>
      </c>
      <c r="G92" s="74">
        <f t="shared" si="1"/>
        <v>0.55950679812009374</v>
      </c>
      <c r="N92" s="10"/>
      <c r="O92" s="75"/>
      <c r="P92" s="10"/>
      <c r="Q92" s="10"/>
    </row>
    <row r="93" spans="1:17">
      <c r="A93" s="35" t="s">
        <v>74</v>
      </c>
      <c r="B93" s="69">
        <v>-174.30216812528701</v>
      </c>
      <c r="C93" s="70">
        <v>5.59013677725597</v>
      </c>
      <c r="D93" s="71">
        <v>-274.928435292095</v>
      </c>
      <c r="E93" s="72">
        <v>32.7770638176912</v>
      </c>
      <c r="F93" s="73">
        <f t="shared" si="0"/>
        <v>100.62626716680799</v>
      </c>
      <c r="G93" s="74">
        <f t="shared" si="1"/>
        <v>0.11979317519858095</v>
      </c>
      <c r="N93" s="10"/>
      <c r="O93" s="75"/>
      <c r="P93" s="10"/>
      <c r="Q93" s="10"/>
    </row>
    <row r="94" spans="1:17" ht="15.75" thickBot="1">
      <c r="A94" s="52" t="s">
        <v>80</v>
      </c>
      <c r="B94" s="76">
        <v>408.31730861589301</v>
      </c>
      <c r="C94" s="77">
        <v>8.2156712006096395</v>
      </c>
      <c r="D94" s="78">
        <v>249.511619942263</v>
      </c>
      <c r="E94" s="79">
        <v>24.895702074181099</v>
      </c>
      <c r="F94" s="80">
        <f t="shared" si="0"/>
        <v>158.80568867363002</v>
      </c>
      <c r="G94" s="81">
        <f t="shared" si="1"/>
        <v>0.18905439127813098</v>
      </c>
      <c r="N94" s="10"/>
      <c r="O94" s="75"/>
      <c r="P94" s="10"/>
      <c r="Q94" s="10"/>
    </row>
    <row r="95" spans="1:17">
      <c r="A95" s="32" t="s">
        <v>52</v>
      </c>
      <c r="B95" s="82">
        <v>-386.78713465854503</v>
      </c>
      <c r="C95" s="83">
        <v>23.2287454306462</v>
      </c>
      <c r="D95" s="84">
        <v>-319.31977036781598</v>
      </c>
      <c r="E95" s="85">
        <v>35.463213593329399</v>
      </c>
      <c r="F95" s="67">
        <f t="shared" si="0"/>
        <v>-67.467364290729051</v>
      </c>
      <c r="G95" s="86">
        <f t="shared" ref="G95:G99" si="2">F95/(4*840)</f>
        <v>-2.0079572705574124E-2</v>
      </c>
      <c r="N95" s="10"/>
      <c r="O95" s="75"/>
      <c r="P95" s="10"/>
      <c r="Q95" s="10"/>
    </row>
    <row r="96" spans="1:17">
      <c r="A96" s="35" t="s">
        <v>58</v>
      </c>
      <c r="B96" s="69">
        <v>-182.292683560401</v>
      </c>
      <c r="C96" s="70">
        <v>42.488155569370299</v>
      </c>
      <c r="D96" s="71">
        <v>-257.06589538045199</v>
      </c>
      <c r="E96" s="72">
        <v>37.649097987377303</v>
      </c>
      <c r="F96" s="73">
        <f t="shared" si="0"/>
        <v>74.773211820050989</v>
      </c>
      <c r="G96" s="74">
        <f t="shared" si="2"/>
        <v>2.225393208930089E-2</v>
      </c>
      <c r="N96" s="10"/>
      <c r="O96" s="75"/>
      <c r="P96" s="10"/>
      <c r="Q96" s="10"/>
    </row>
    <row r="97" spans="1:17">
      <c r="A97" s="35" t="s">
        <v>64</v>
      </c>
      <c r="B97" s="69">
        <v>-592.00149342045199</v>
      </c>
      <c r="C97" s="70">
        <v>43.047221194198599</v>
      </c>
      <c r="D97" s="71">
        <v>-265.67477602232299</v>
      </c>
      <c r="E97" s="72">
        <v>55.858707781895603</v>
      </c>
      <c r="F97" s="73">
        <f t="shared" si="0"/>
        <v>-326.32671739812901</v>
      </c>
      <c r="G97" s="74">
        <f t="shared" si="2"/>
        <v>-9.7121046844681258E-2</v>
      </c>
      <c r="N97" s="10"/>
      <c r="O97" s="75"/>
      <c r="P97" s="10"/>
      <c r="Q97" s="10"/>
    </row>
    <row r="98" spans="1:17">
      <c r="A98" s="35" t="s">
        <v>70</v>
      </c>
      <c r="B98" s="69">
        <v>16.7040696780826</v>
      </c>
      <c r="C98" s="70">
        <v>31.120087726736902</v>
      </c>
      <c r="D98" s="71">
        <v>-576.27153141051497</v>
      </c>
      <c r="E98" s="72">
        <v>72.933696577059806</v>
      </c>
      <c r="F98" s="73">
        <f t="shared" si="0"/>
        <v>592.97560108859761</v>
      </c>
      <c r="G98" s="74">
        <f t="shared" si="2"/>
        <v>0.17648083365732073</v>
      </c>
      <c r="N98" s="10"/>
      <c r="O98" s="10"/>
      <c r="P98" s="10"/>
      <c r="Q98" s="10"/>
    </row>
    <row r="99" spans="1:17">
      <c r="A99" s="35" t="s">
        <v>76</v>
      </c>
      <c r="B99" s="69">
        <v>-125.55802422065599</v>
      </c>
      <c r="C99" s="70">
        <v>40.390191479124098</v>
      </c>
      <c r="D99" s="71">
        <v>96.862915526142402</v>
      </c>
      <c r="E99" s="72">
        <v>83.243183322472106</v>
      </c>
      <c r="F99" s="73">
        <f t="shared" si="0"/>
        <v>-222.42093974679841</v>
      </c>
      <c r="G99" s="74">
        <f t="shared" si="2"/>
        <v>-6.6196708257975717E-2</v>
      </c>
      <c r="N99" s="10"/>
      <c r="O99" s="10"/>
      <c r="P99" s="10"/>
      <c r="Q99" s="10"/>
    </row>
    <row r="100" spans="1:17" ht="15.75" thickBot="1">
      <c r="A100" s="52" t="s">
        <v>82</v>
      </c>
      <c r="B100" s="76">
        <v>-227.4643075075</v>
      </c>
      <c r="C100" s="77">
        <v>30.875827168212702</v>
      </c>
      <c r="D100" s="78">
        <v>-1139.7024812996401</v>
      </c>
      <c r="E100" s="79">
        <v>61.225561571857803</v>
      </c>
      <c r="F100" s="80">
        <f t="shared" si="0"/>
        <v>912.23817379214006</v>
      </c>
      <c r="G100" s="81">
        <f>F100/(4*840)</f>
        <v>0.27149945648575596</v>
      </c>
      <c r="N100" s="10"/>
      <c r="O100" s="10"/>
      <c r="P100" s="10"/>
      <c r="Q100" s="10"/>
    </row>
    <row r="101" spans="1:17">
      <c r="A101" s="38"/>
      <c r="B101" s="87"/>
      <c r="C101" s="13"/>
      <c r="D101" s="10"/>
      <c r="E101" s="10"/>
      <c r="F101" s="10"/>
      <c r="G101" s="10"/>
      <c r="H101" s="10"/>
      <c r="N101" s="10"/>
      <c r="O101" s="10"/>
      <c r="P101" s="10"/>
      <c r="Q101" s="10"/>
    </row>
    <row r="102" spans="1:17">
      <c r="N102" s="10"/>
      <c r="O102" s="10"/>
      <c r="P102" s="10"/>
      <c r="Q102" s="10"/>
    </row>
    <row r="103" spans="1:17">
      <c r="N103" s="10"/>
      <c r="O103" s="10"/>
      <c r="P103" s="10"/>
      <c r="Q103" s="10"/>
    </row>
    <row r="104" spans="1:17">
      <c r="D104" s="38"/>
    </row>
    <row r="106" spans="1:17" ht="15.75" thickBot="1">
      <c r="A106" s="18" t="s">
        <v>143</v>
      </c>
      <c r="B106" s="88" t="s">
        <v>147</v>
      </c>
      <c r="C106" s="54" t="s">
        <v>148</v>
      </c>
      <c r="D106" s="59" t="s">
        <v>149</v>
      </c>
      <c r="E106" s="59" t="s">
        <v>149</v>
      </c>
      <c r="F106" s="89" t="s">
        <v>150</v>
      </c>
      <c r="G106" s="31" t="s">
        <v>151</v>
      </c>
    </row>
    <row r="107" spans="1:17">
      <c r="A107" s="58" t="s">
        <v>50</v>
      </c>
      <c r="B107" s="90">
        <v>20000</v>
      </c>
      <c r="C107" s="435">
        <v>-17000</v>
      </c>
      <c r="D107" s="114">
        <f>B107/840</f>
        <v>23.80952380952381</v>
      </c>
      <c r="E107" s="114">
        <f>C107/840</f>
        <v>-20.238095238095237</v>
      </c>
      <c r="F107" s="92"/>
      <c r="G107" s="17" t="s">
        <v>473</v>
      </c>
    </row>
    <row r="108" spans="1:17">
      <c r="A108" s="35" t="s">
        <v>56</v>
      </c>
      <c r="B108" s="94">
        <v>18000</v>
      </c>
      <c r="C108" s="436">
        <v>-16000</v>
      </c>
      <c r="D108" s="434">
        <f t="shared" ref="D108:D112" si="3">B108/840</f>
        <v>21.428571428571427</v>
      </c>
      <c r="E108" s="434">
        <f t="shared" ref="E108:E112" si="4">C108/840</f>
        <v>-19.047619047619047</v>
      </c>
      <c r="F108" s="95"/>
      <c r="G108" s="20" t="s">
        <v>473</v>
      </c>
    </row>
    <row r="109" spans="1:17">
      <c r="A109" s="35" t="s">
        <v>62</v>
      </c>
      <c r="B109" s="94">
        <v>18500</v>
      </c>
      <c r="C109" s="436">
        <v>-18000</v>
      </c>
      <c r="D109" s="434">
        <f t="shared" si="3"/>
        <v>22.023809523809526</v>
      </c>
      <c r="E109" s="434">
        <f t="shared" si="4"/>
        <v>-21.428571428571427</v>
      </c>
      <c r="F109" s="95"/>
      <c r="G109" s="20" t="s">
        <v>473</v>
      </c>
    </row>
    <row r="110" spans="1:17">
      <c r="A110" s="35" t="s">
        <v>68</v>
      </c>
      <c r="B110" s="94">
        <v>25000</v>
      </c>
      <c r="C110" s="436">
        <v>-21000</v>
      </c>
      <c r="D110" s="434">
        <f t="shared" si="3"/>
        <v>29.761904761904763</v>
      </c>
      <c r="E110" s="434">
        <f t="shared" si="4"/>
        <v>-25</v>
      </c>
      <c r="F110" s="95"/>
      <c r="G110" s="20" t="s">
        <v>473</v>
      </c>
    </row>
    <row r="111" spans="1:17" ht="15" customHeight="1">
      <c r="A111" s="35" t="s">
        <v>74</v>
      </c>
      <c r="B111" s="94">
        <v>21000</v>
      </c>
      <c r="C111" s="436">
        <v>-21000</v>
      </c>
      <c r="D111" s="434">
        <f t="shared" si="3"/>
        <v>25</v>
      </c>
      <c r="E111" s="434">
        <f t="shared" si="4"/>
        <v>-25</v>
      </c>
      <c r="F111" s="95"/>
      <c r="G111" s="20" t="s">
        <v>473</v>
      </c>
    </row>
    <row r="112" spans="1:17" ht="15.75" thickBot="1">
      <c r="A112" s="52" t="s">
        <v>80</v>
      </c>
      <c r="B112" s="97">
        <v>20000</v>
      </c>
      <c r="C112" s="437">
        <v>-19000</v>
      </c>
      <c r="D112" s="477">
        <f t="shared" si="3"/>
        <v>23.80952380952381</v>
      </c>
      <c r="E112" s="477">
        <f t="shared" si="4"/>
        <v>-22.61904761904762</v>
      </c>
      <c r="F112" s="98"/>
      <c r="G112" s="25" t="s">
        <v>473</v>
      </c>
    </row>
    <row r="113" spans="1:7">
      <c r="A113" s="32" t="s">
        <v>52</v>
      </c>
      <c r="B113" s="456"/>
      <c r="C113" s="457"/>
      <c r="D113" s="438"/>
      <c r="E113" s="438"/>
      <c r="F113" s="476" t="s">
        <v>473</v>
      </c>
      <c r="G113" s="28" t="s">
        <v>473</v>
      </c>
    </row>
    <row r="114" spans="1:7">
      <c r="A114" s="35" t="s">
        <v>58</v>
      </c>
      <c r="B114" s="458"/>
      <c r="C114" s="459"/>
      <c r="D114" s="439"/>
      <c r="E114" s="439"/>
      <c r="F114" s="444" t="s">
        <v>473</v>
      </c>
      <c r="G114" s="20" t="s">
        <v>473</v>
      </c>
    </row>
    <row r="115" spans="1:7">
      <c r="A115" s="35" t="s">
        <v>64</v>
      </c>
      <c r="B115" s="458"/>
      <c r="C115" s="459"/>
      <c r="D115" s="439"/>
      <c r="E115" s="439"/>
      <c r="F115" s="444" t="s">
        <v>473</v>
      </c>
      <c r="G115" s="20" t="s">
        <v>473</v>
      </c>
    </row>
    <row r="116" spans="1:7">
      <c r="A116" s="35" t="s">
        <v>70</v>
      </c>
      <c r="B116" s="458"/>
      <c r="C116" s="459"/>
      <c r="D116" s="439"/>
      <c r="E116" s="439"/>
      <c r="F116" s="444" t="s">
        <v>473</v>
      </c>
      <c r="G116" s="20" t="s">
        <v>473</v>
      </c>
    </row>
    <row r="117" spans="1:7">
      <c r="A117" s="35" t="s">
        <v>76</v>
      </c>
      <c r="B117" s="458"/>
      <c r="C117" s="459"/>
      <c r="D117" s="439"/>
      <c r="E117" s="439"/>
      <c r="F117" s="444" t="s">
        <v>473</v>
      </c>
      <c r="G117" s="20" t="s">
        <v>473</v>
      </c>
    </row>
    <row r="118" spans="1:7">
      <c r="A118" s="52" t="s">
        <v>82</v>
      </c>
      <c r="B118" s="460"/>
      <c r="C118" s="461"/>
      <c r="D118" s="440"/>
      <c r="E118" s="440"/>
      <c r="F118" s="445" t="s">
        <v>473</v>
      </c>
      <c r="G118" s="25" t="s">
        <v>473</v>
      </c>
    </row>
    <row r="121" spans="1:7" ht="15.75" thickBot="1"/>
    <row r="122" spans="1:7" ht="15.75" thickBot="1">
      <c r="A122" s="463" t="s">
        <v>152</v>
      </c>
      <c r="B122" s="106" t="s">
        <v>153</v>
      </c>
      <c r="C122" s="463" t="s">
        <v>154</v>
      </c>
      <c r="D122" s="464" t="s">
        <v>155</v>
      </c>
      <c r="E122" s="238" t="s">
        <v>156</v>
      </c>
      <c r="F122" s="109" t="s">
        <v>146</v>
      </c>
    </row>
    <row r="123" spans="1:7">
      <c r="A123" s="28" t="s">
        <v>50</v>
      </c>
      <c r="B123" s="111">
        <v>-16071.106</v>
      </c>
      <c r="C123" s="112">
        <v>423</v>
      </c>
      <c r="D123" s="113">
        <v>16157.987999999999</v>
      </c>
      <c r="E123" s="67">
        <f>D123-B123</f>
        <v>32229.093999999997</v>
      </c>
      <c r="F123" s="114">
        <f t="shared" ref="F123:F128" si="5">E123/840</f>
        <v>38.367969047619042</v>
      </c>
    </row>
    <row r="124" spans="1:7">
      <c r="A124" s="20" t="s">
        <v>56</v>
      </c>
      <c r="B124" s="116">
        <v>-16485.419999999998</v>
      </c>
      <c r="C124" s="117">
        <v>248</v>
      </c>
      <c r="D124" s="118">
        <v>15918.245999999999</v>
      </c>
      <c r="E124" s="73">
        <f t="shared" ref="E124:E134" si="6">D124-B124</f>
        <v>32403.665999999997</v>
      </c>
      <c r="F124" s="119">
        <f t="shared" si="5"/>
        <v>38.575792857142851</v>
      </c>
    </row>
    <row r="125" spans="1:7">
      <c r="A125" s="20" t="s">
        <v>62</v>
      </c>
      <c r="B125" s="116">
        <v>-16772.353999999999</v>
      </c>
      <c r="C125" s="117">
        <v>-136</v>
      </c>
      <c r="D125" s="118">
        <v>15417.602000000001</v>
      </c>
      <c r="E125" s="73">
        <f t="shared" si="6"/>
        <v>32189.955999999998</v>
      </c>
      <c r="F125" s="119">
        <f t="shared" si="5"/>
        <v>38.321376190476187</v>
      </c>
    </row>
    <row r="126" spans="1:7">
      <c r="A126" s="20" t="s">
        <v>68</v>
      </c>
      <c r="B126" s="116">
        <v>-15171.804</v>
      </c>
      <c r="C126" s="117">
        <v>-142</v>
      </c>
      <c r="D126" s="118">
        <v>14975.982</v>
      </c>
      <c r="E126" s="73">
        <f t="shared" si="6"/>
        <v>30147.786</v>
      </c>
      <c r="F126" s="119">
        <f t="shared" si="5"/>
        <v>35.890221428571429</v>
      </c>
    </row>
    <row r="127" spans="1:7">
      <c r="A127" s="20" t="s">
        <v>74</v>
      </c>
      <c r="B127" s="116">
        <v>-14630.65</v>
      </c>
      <c r="C127" s="117">
        <v>-79</v>
      </c>
      <c r="D127" s="118">
        <v>14610.022000000001</v>
      </c>
      <c r="E127" s="73">
        <f t="shared" si="6"/>
        <v>29240.671999999999</v>
      </c>
      <c r="F127" s="119">
        <f t="shared" si="5"/>
        <v>34.810323809523808</v>
      </c>
    </row>
    <row r="128" spans="1:7">
      <c r="A128" s="20" t="s">
        <v>80</v>
      </c>
      <c r="B128" s="116">
        <v>-14048.082</v>
      </c>
      <c r="C128" s="117">
        <v>746</v>
      </c>
      <c r="D128" s="118">
        <v>15547.776</v>
      </c>
      <c r="E128" s="73">
        <f t="shared" si="6"/>
        <v>29595.858</v>
      </c>
      <c r="F128" s="119">
        <f t="shared" si="5"/>
        <v>35.233164285714288</v>
      </c>
    </row>
    <row r="129" spans="1:37">
      <c r="A129" s="20" t="s">
        <v>52</v>
      </c>
      <c r="B129" s="116">
        <v>-10631.464</v>
      </c>
      <c r="C129" s="117">
        <v>-436</v>
      </c>
      <c r="D129" s="118">
        <v>9755.3935999999994</v>
      </c>
      <c r="E129" s="73">
        <f t="shared" si="6"/>
        <v>20386.857599999999</v>
      </c>
      <c r="F129" s="307">
        <f t="shared" ref="F129:F134" si="7">E129/(4*840)</f>
        <v>6.0675171428571426</v>
      </c>
    </row>
    <row r="130" spans="1:37">
      <c r="A130" s="20" t="s">
        <v>58</v>
      </c>
      <c r="B130" s="116">
        <v>-10014.393599999999</v>
      </c>
      <c r="C130" s="117">
        <v>71</v>
      </c>
      <c r="D130" s="118">
        <v>10172.093999999999</v>
      </c>
      <c r="E130" s="73">
        <f t="shared" si="6"/>
        <v>20186.4876</v>
      </c>
      <c r="F130" s="307">
        <f t="shared" si="7"/>
        <v>6.0078832142857141</v>
      </c>
    </row>
    <row r="131" spans="1:37">
      <c r="A131" s="20" t="s">
        <v>64</v>
      </c>
      <c r="B131" s="116">
        <v>-9734.4357999999993</v>
      </c>
      <c r="C131" s="117">
        <v>207</v>
      </c>
      <c r="D131" s="118">
        <v>10156.554</v>
      </c>
      <c r="E131" s="73">
        <f t="shared" si="6"/>
        <v>19890.989799999999</v>
      </c>
      <c r="F131" s="307">
        <f t="shared" si="7"/>
        <v>5.9199374404761906</v>
      </c>
    </row>
    <row r="132" spans="1:37">
      <c r="A132" s="20" t="s">
        <v>70</v>
      </c>
      <c r="B132" s="116">
        <v>-12559.683999999999</v>
      </c>
      <c r="C132" s="117">
        <v>-187</v>
      </c>
      <c r="D132" s="118">
        <v>12190.005999999999</v>
      </c>
      <c r="E132" s="73">
        <f t="shared" si="6"/>
        <v>24749.69</v>
      </c>
      <c r="F132" s="307">
        <f t="shared" si="7"/>
        <v>7.3659791666666665</v>
      </c>
    </row>
    <row r="133" spans="1:37">
      <c r="A133" s="20" t="s">
        <v>76</v>
      </c>
      <c r="B133" s="116">
        <v>-11799.791999999999</v>
      </c>
      <c r="C133" s="117">
        <v>491</v>
      </c>
      <c r="D133" s="118">
        <v>12782.013999999999</v>
      </c>
      <c r="E133" s="73">
        <f t="shared" si="6"/>
        <v>24581.805999999997</v>
      </c>
      <c r="F133" s="307">
        <f t="shared" si="7"/>
        <v>7.3160136904761899</v>
      </c>
    </row>
    <row r="134" spans="1:37" ht="15.75" thickBot="1">
      <c r="A134" s="25" t="s">
        <v>82</v>
      </c>
      <c r="B134" s="121">
        <v>-12891.918</v>
      </c>
      <c r="C134" s="122">
        <v>-844</v>
      </c>
      <c r="D134" s="123">
        <v>11208.248</v>
      </c>
      <c r="E134" s="80">
        <f t="shared" si="6"/>
        <v>24100.165999999997</v>
      </c>
      <c r="F134" s="308">
        <f t="shared" si="7"/>
        <v>7.1726684523809512</v>
      </c>
    </row>
    <row r="138" spans="1:37" ht="15.75" thickBot="1">
      <c r="A138" s="37" t="s">
        <v>158</v>
      </c>
    </row>
    <row r="139" spans="1:37" ht="15.75" thickBot="1">
      <c r="A139" s="1" t="s">
        <v>159</v>
      </c>
      <c r="B139" s="2"/>
      <c r="C139" s="204" t="s">
        <v>160</v>
      </c>
      <c r="D139" s="206" t="s">
        <v>443</v>
      </c>
      <c r="E139" s="419" t="s">
        <v>444</v>
      </c>
      <c r="F139" s="106" t="s">
        <v>438</v>
      </c>
      <c r="G139" s="205" t="s">
        <v>439</v>
      </c>
      <c r="H139" s="205" t="s">
        <v>440</v>
      </c>
      <c r="I139" s="206" t="s">
        <v>442</v>
      </c>
      <c r="J139" s="419" t="s">
        <v>441</v>
      </c>
      <c r="K139" s="418" t="s">
        <v>161</v>
      </c>
      <c r="W139" s="1" t="s">
        <v>159</v>
      </c>
      <c r="X139" s="2"/>
      <c r="Y139" s="204" t="s">
        <v>160</v>
      </c>
      <c r="Z139" s="206" t="s">
        <v>443</v>
      </c>
      <c r="AA139" s="419" t="s">
        <v>444</v>
      </c>
      <c r="AB139" s="106" t="s">
        <v>438</v>
      </c>
      <c r="AC139" s="205" t="s">
        <v>439</v>
      </c>
      <c r="AD139" s="205" t="s">
        <v>440</v>
      </c>
      <c r="AE139" s="206" t="s">
        <v>442</v>
      </c>
      <c r="AF139" s="419" t="s">
        <v>441</v>
      </c>
      <c r="AG139" s="418" t="s">
        <v>161</v>
      </c>
      <c r="AH139" s="135"/>
      <c r="AI139" s="135"/>
      <c r="AJ139" s="135"/>
      <c r="AK139" s="135"/>
    </row>
    <row r="140" spans="1:37">
      <c r="A140" s="1" t="s">
        <v>162</v>
      </c>
      <c r="B140" s="129" t="s">
        <v>103</v>
      </c>
      <c r="C140" s="100">
        <v>-547</v>
      </c>
      <c r="D140" s="420">
        <v>-553</v>
      </c>
      <c r="E140" s="320">
        <f>AVERAGE(C140:D140)</f>
        <v>-550</v>
      </c>
      <c r="F140" s="417">
        <v>-25893</v>
      </c>
      <c r="G140" s="421">
        <v>-26059</v>
      </c>
      <c r="H140" s="421">
        <v>-26051</v>
      </c>
      <c r="I140" s="420"/>
      <c r="J140" s="320">
        <f>AVERAGE(F140:I140)</f>
        <v>-26001</v>
      </c>
      <c r="K140" s="55">
        <f>J140-E140</f>
        <v>-25451</v>
      </c>
      <c r="Q140" s="135">
        <f>15/0.458/(K140/$M$143*0.001)/3</f>
        <v>-1428.0496867085465</v>
      </c>
      <c r="R140">
        <f>($M$146+Q140)/$M$146</f>
        <v>2.5222056854234499E-2</v>
      </c>
      <c r="W140" s="1" t="s">
        <v>162</v>
      </c>
      <c r="X140" s="129" t="s">
        <v>103</v>
      </c>
      <c r="Y140" s="100">
        <v>6418</v>
      </c>
      <c r="Z140" s="420"/>
      <c r="AA140" s="320">
        <f>AVERAGE(Y140:Z140)</f>
        <v>6418</v>
      </c>
      <c r="AB140" s="417">
        <v>-20163</v>
      </c>
      <c r="AC140" s="421"/>
      <c r="AD140" s="421"/>
      <c r="AE140" s="420"/>
      <c r="AF140" s="320">
        <f>AVERAGE(AB140:AE140)</f>
        <v>-20163</v>
      </c>
      <c r="AG140" s="55">
        <f>AF140-AA140</f>
        <v>-26581</v>
      </c>
      <c r="AH140" s="135"/>
      <c r="AI140" s="135"/>
      <c r="AJ140" s="135"/>
      <c r="AK140" s="135"/>
    </row>
    <row r="141" spans="1:37">
      <c r="A141" s="401"/>
      <c r="B141" s="131" t="s">
        <v>106</v>
      </c>
      <c r="C141" s="101">
        <v>11</v>
      </c>
      <c r="D141" s="422">
        <v>-20</v>
      </c>
      <c r="E141" s="321">
        <f>AVERAGE(C141:D141)</f>
        <v>-4.5</v>
      </c>
      <c r="F141" s="290">
        <v>-26496</v>
      </c>
      <c r="G141" s="423">
        <v>-26364</v>
      </c>
      <c r="H141" s="423">
        <v>-26556</v>
      </c>
      <c r="I141" s="422"/>
      <c r="J141" s="321">
        <f>AVERAGE(F141:I141)</f>
        <v>-26472</v>
      </c>
      <c r="K141" s="56">
        <f>J141-E141</f>
        <v>-26467.5</v>
      </c>
      <c r="Q141" s="135">
        <f>15/0.458/(K141/$M$143*0.001)/3</f>
        <v>-1373.2045934228472</v>
      </c>
      <c r="R141" s="135">
        <f>($M$146+Q141)/$M$146</f>
        <v>6.2658980598739103E-2</v>
      </c>
      <c r="W141" s="401">
        <v>41194</v>
      </c>
      <c r="X141" s="131" t="s">
        <v>106</v>
      </c>
      <c r="Y141" s="101">
        <v>7746</v>
      </c>
      <c r="Z141" s="422"/>
      <c r="AA141" s="321">
        <f>AVERAGE(Y141:Z141)</f>
        <v>7746</v>
      </c>
      <c r="AB141" s="290">
        <v>-18467</v>
      </c>
      <c r="AC141" s="423"/>
      <c r="AD141" s="423"/>
      <c r="AE141" s="422"/>
      <c r="AF141" s="321">
        <f>AVERAGE(AB141:AE141)</f>
        <v>-18467</v>
      </c>
      <c r="AG141" s="56">
        <f>AF141-AA141</f>
        <v>-26213</v>
      </c>
      <c r="AH141" s="135"/>
      <c r="AI141" s="135"/>
      <c r="AJ141" s="135"/>
      <c r="AK141" s="135"/>
    </row>
    <row r="142" spans="1:37" ht="15.75" thickBot="1">
      <c r="B142" s="132" t="s">
        <v>109</v>
      </c>
      <c r="C142" s="103">
        <v>-1162</v>
      </c>
      <c r="D142" s="424">
        <v>-1158</v>
      </c>
      <c r="E142" s="322">
        <f>AVERAGE(C142:D142)</f>
        <v>-1160</v>
      </c>
      <c r="F142" s="294">
        <v>-26747</v>
      </c>
      <c r="G142" s="425">
        <v>-26691</v>
      </c>
      <c r="H142" s="425">
        <v>-26581</v>
      </c>
      <c r="I142" s="424"/>
      <c r="J142" s="322">
        <f>AVERAGE(F142:I142)</f>
        <v>-26673</v>
      </c>
      <c r="K142" s="57">
        <f>J142-E142</f>
        <v>-25513</v>
      </c>
      <c r="Q142" s="135">
        <f>15/0.458/(K142/$M$143*0.001)/3</f>
        <v>-1424.5793351005059</v>
      </c>
      <c r="R142" s="135">
        <f>($M$146+Q142)/$M$146</f>
        <v>2.7590897542316802E-2</v>
      </c>
      <c r="W142" s="1"/>
      <c r="X142" s="132" t="s">
        <v>109</v>
      </c>
      <c r="Y142" s="103">
        <v>-1624</v>
      </c>
      <c r="Z142" s="424"/>
      <c r="AA142" s="322">
        <f>AVERAGE(Y142:Z142)</f>
        <v>-1624</v>
      </c>
      <c r="AB142" s="294">
        <v>-28867</v>
      </c>
      <c r="AC142" s="425"/>
      <c r="AD142" s="425"/>
      <c r="AE142" s="424"/>
      <c r="AF142" s="322">
        <f>AVERAGE(AB142:AE142)</f>
        <v>-28867</v>
      </c>
      <c r="AG142" s="57">
        <f>AF142-AA142</f>
        <v>-27243</v>
      </c>
      <c r="AH142" s="135"/>
      <c r="AI142" s="135"/>
      <c r="AJ142" s="135"/>
      <c r="AK142" s="135"/>
    </row>
    <row r="143" spans="1:37">
      <c r="K143" s="134">
        <f>AVERAGE(K140:K142)</f>
        <v>-25810.5</v>
      </c>
      <c r="L143" t="s">
        <v>163</v>
      </c>
      <c r="M143" s="135">
        <f>N153*4</f>
        <v>3329.2287999999999</v>
      </c>
      <c r="N143" t="s">
        <v>164</v>
      </c>
      <c r="W143" s="1"/>
      <c r="X143" s="1"/>
      <c r="Y143" s="2"/>
      <c r="Z143" s="135"/>
      <c r="AA143" s="135"/>
      <c r="AB143" s="135"/>
      <c r="AC143" s="135"/>
      <c r="AD143" s="135"/>
      <c r="AE143" s="135"/>
      <c r="AF143" s="135"/>
      <c r="AG143" s="134">
        <f>AVERAGE(AG140:AG142)</f>
        <v>-26679</v>
      </c>
      <c r="AH143" s="135" t="s">
        <v>163</v>
      </c>
      <c r="AI143" s="135">
        <f>AJ153*4</f>
        <v>0</v>
      </c>
      <c r="AJ143" s="135" t="s">
        <v>164</v>
      </c>
      <c r="AK143" s="135"/>
    </row>
    <row r="144" spans="1:37">
      <c r="K144" s="136">
        <f>K143/M143</f>
        <v>-7.7526963601900842</v>
      </c>
      <c r="L144" t="s">
        <v>146</v>
      </c>
      <c r="W144" s="1"/>
      <c r="X144" s="1"/>
      <c r="Y144" s="2"/>
      <c r="Z144" s="135"/>
      <c r="AA144" s="135"/>
      <c r="AB144" s="135"/>
      <c r="AC144" s="135"/>
      <c r="AD144" s="135"/>
      <c r="AE144" s="135"/>
      <c r="AF144" s="135"/>
      <c r="AG144" s="136" t="e">
        <f>AG143/AI143</f>
        <v>#DIV/0!</v>
      </c>
      <c r="AH144" s="135" t="s">
        <v>146</v>
      </c>
      <c r="AI144" s="135"/>
      <c r="AJ144" s="135"/>
      <c r="AK144" s="135"/>
    </row>
    <row r="145" spans="1:37">
      <c r="K145" s="134">
        <f>15/0.458/(K144*0.001)/3</f>
        <v>-1408.159182364511</v>
      </c>
      <c r="L145" t="s">
        <v>165</v>
      </c>
      <c r="M145" s="135">
        <f>2^15/20*40*2</f>
        <v>131072</v>
      </c>
      <c r="N145" t="s">
        <v>166</v>
      </c>
      <c r="W145" s="1"/>
      <c r="X145" s="1"/>
      <c r="Y145" s="2"/>
      <c r="Z145" s="135"/>
      <c r="AA145" s="135"/>
      <c r="AB145" s="135"/>
      <c r="AC145" s="135"/>
      <c r="AD145" s="135"/>
      <c r="AE145" s="135"/>
      <c r="AF145" s="135"/>
      <c r="AG145" s="135" t="e">
        <f>15/0.458/(AG144*0.001)/3</f>
        <v>#DIV/0!</v>
      </c>
      <c r="AH145" s="135" t="s">
        <v>165</v>
      </c>
      <c r="AI145" s="135">
        <f>2^15/20*40*2</f>
        <v>131072</v>
      </c>
      <c r="AJ145" s="135" t="s">
        <v>166</v>
      </c>
      <c r="AK145" s="135"/>
    </row>
    <row r="146" spans="1:37">
      <c r="K146" s="136">
        <f>100*(ABS(K145)-M146)/M146</f>
        <v>-3.8799192925248449</v>
      </c>
      <c r="L146" t="s">
        <v>167</v>
      </c>
      <c r="M146">
        <v>1465</v>
      </c>
      <c r="N146" t="s">
        <v>165</v>
      </c>
      <c r="O146" t="s">
        <v>168</v>
      </c>
      <c r="W146" s="1"/>
      <c r="X146" s="1"/>
      <c r="Y146" s="2"/>
      <c r="Z146" s="135"/>
      <c r="AA146" s="135"/>
      <c r="AB146" s="135"/>
      <c r="AC146" s="135"/>
      <c r="AD146" s="135"/>
      <c r="AE146" s="135"/>
      <c r="AF146" s="135"/>
      <c r="AG146" s="135" t="e">
        <f>100*(ABS(AG145)-AI146)/AI146</f>
        <v>#DIV/0!</v>
      </c>
      <c r="AH146" s="135" t="s">
        <v>167</v>
      </c>
      <c r="AI146" s="135">
        <v>1465</v>
      </c>
      <c r="AJ146" s="135" t="s">
        <v>165</v>
      </c>
      <c r="AK146" s="135" t="s">
        <v>168</v>
      </c>
    </row>
    <row r="148" spans="1:37" ht="15.75" thickBot="1">
      <c r="M148" s="135">
        <f>0.0254*M145</f>
        <v>3329.2287999999999</v>
      </c>
      <c r="N148" t="s">
        <v>169</v>
      </c>
    </row>
    <row r="149" spans="1:37" ht="15.75" thickBot="1">
      <c r="A149" s="1" t="s">
        <v>170</v>
      </c>
      <c r="C149" s="17" t="s">
        <v>160</v>
      </c>
      <c r="D149" s="427" t="s">
        <v>443</v>
      </c>
      <c r="E149" s="17" t="s">
        <v>449</v>
      </c>
      <c r="F149" s="428" t="s">
        <v>445</v>
      </c>
      <c r="G149" s="429" t="s">
        <v>446</v>
      </c>
      <c r="H149" s="430" t="s">
        <v>447</v>
      </c>
      <c r="I149" s="426" t="s">
        <v>448</v>
      </c>
      <c r="J149" s="427" t="s">
        <v>171</v>
      </c>
      <c r="K149" s="17" t="s">
        <v>172</v>
      </c>
      <c r="L149" s="431" t="s">
        <v>173</v>
      </c>
    </row>
    <row r="150" spans="1:37">
      <c r="B150" s="137" t="s">
        <v>103</v>
      </c>
      <c r="C150" s="36">
        <v>-445</v>
      </c>
      <c r="D150" s="346">
        <v>-448</v>
      </c>
      <c r="E150" s="321">
        <f>AVERAGE(C150:D150)</f>
        <v>-446.5</v>
      </c>
      <c r="F150" s="432">
        <v>-8033</v>
      </c>
      <c r="G150" s="423">
        <v>-8034</v>
      </c>
      <c r="H150" s="422">
        <v>-8099</v>
      </c>
      <c r="I150" s="321">
        <f>AVERAGE(F150:H150)</f>
        <v>-8055.333333333333</v>
      </c>
      <c r="J150" s="346">
        <v>-15592</v>
      </c>
      <c r="K150" s="321">
        <f>I150-C150</f>
        <v>-7610.333333333333</v>
      </c>
      <c r="L150" s="321">
        <f>J150-D150</f>
        <v>-15144</v>
      </c>
    </row>
    <row r="151" spans="1:37">
      <c r="B151" s="139" t="s">
        <v>106</v>
      </c>
      <c r="C151" s="36">
        <v>-264</v>
      </c>
      <c r="D151" s="346">
        <v>-258</v>
      </c>
      <c r="E151" s="321">
        <f>AVERAGE(C151:D151)</f>
        <v>-261</v>
      </c>
      <c r="F151" s="432">
        <v>-7968</v>
      </c>
      <c r="G151" s="423">
        <v>-7888</v>
      </c>
      <c r="H151" s="422">
        <v>-7804</v>
      </c>
      <c r="I151" s="321">
        <f>AVERAGE(F151:H151)</f>
        <v>-7886.666666666667</v>
      </c>
      <c r="J151" s="346">
        <v>-15707</v>
      </c>
      <c r="K151" s="321">
        <f>I151-C151</f>
        <v>-7622.666666666667</v>
      </c>
      <c r="L151" s="321">
        <f t="shared" ref="L151:L152" si="8">J151-D151</f>
        <v>-15449</v>
      </c>
    </row>
    <row r="152" spans="1:37" ht="15.75" thickBot="1">
      <c r="B152" s="141" t="s">
        <v>109</v>
      </c>
      <c r="C152" s="53">
        <v>237</v>
      </c>
      <c r="D152" s="411">
        <v>226</v>
      </c>
      <c r="E152" s="322">
        <f>AVERAGE(C152:D152)</f>
        <v>231.5</v>
      </c>
      <c r="F152" s="433">
        <v>-7414</v>
      </c>
      <c r="G152" s="425">
        <v>-7592</v>
      </c>
      <c r="H152" s="424">
        <v>-7424</v>
      </c>
      <c r="I152" s="322">
        <f>AVERAGE(F152:H152)</f>
        <v>-7476.666666666667</v>
      </c>
      <c r="J152" s="411">
        <v>-15082</v>
      </c>
      <c r="K152" s="322">
        <f>I152-C152</f>
        <v>-7713.666666666667</v>
      </c>
      <c r="L152" s="321">
        <f t="shared" si="8"/>
        <v>-15308</v>
      </c>
    </row>
    <row r="153" spans="1:37">
      <c r="K153" s="136">
        <f>AVERAGE(K150:K152)</f>
        <v>-7648.8888888888896</v>
      </c>
      <c r="L153" s="135">
        <f>AVERAGE(L150:L152)</f>
        <v>-15300.333333333334</v>
      </c>
      <c r="M153" t="s">
        <v>163</v>
      </c>
      <c r="N153" s="135">
        <f>M148/4</f>
        <v>832.30719999999997</v>
      </c>
      <c r="O153" t="s">
        <v>169</v>
      </c>
    </row>
    <row r="154" spans="1:37">
      <c r="K154" s="136">
        <f>K153/N153</f>
        <v>-9.1899828439413831</v>
      </c>
      <c r="L154" s="135">
        <f>L153/N153</f>
        <v>-18.383036135375658</v>
      </c>
      <c r="M154" t="s">
        <v>146</v>
      </c>
      <c r="N154">
        <v>1241</v>
      </c>
      <c r="O154" t="s">
        <v>165</v>
      </c>
      <c r="P154" t="s">
        <v>174</v>
      </c>
    </row>
    <row r="155" spans="1:37">
      <c r="K155" s="136">
        <f>15/0.454/(K154*0.001)/3</f>
        <v>-1198.3935167290811</v>
      </c>
      <c r="L155" s="135">
        <f>30/0.454/(L154*0.001)/3</f>
        <v>-1198.1933536906233</v>
      </c>
      <c r="M155" s="135" t="s">
        <v>165</v>
      </c>
      <c r="N155" s="135">
        <f>(N154/0.454)/0.0254</f>
        <v>107617.32977210447</v>
      </c>
      <c r="O155" t="s">
        <v>175</v>
      </c>
    </row>
    <row r="156" spans="1:37" ht="15.75" thickBot="1">
      <c r="K156" s="136">
        <f>100*(ABS(K155)-N154)/N154</f>
        <v>-3.4332379750941935</v>
      </c>
      <c r="L156" s="136">
        <f>100*(ABS(L155)-N154)/N154</f>
        <v>-3.4493671482172985</v>
      </c>
      <c r="M156" s="38" t="s">
        <v>167</v>
      </c>
    </row>
    <row r="157" spans="1:37" ht="15.75" thickBot="1">
      <c r="B157" s="143" t="s">
        <v>143</v>
      </c>
      <c r="C157" s="18" t="s">
        <v>176</v>
      </c>
      <c r="D157" s="19" t="s">
        <v>177</v>
      </c>
      <c r="E157" s="19" t="s">
        <v>178</v>
      </c>
    </row>
    <row r="158" spans="1:37">
      <c r="A158" s="503" t="s">
        <v>43</v>
      </c>
      <c r="B158" s="144" t="s">
        <v>103</v>
      </c>
      <c r="C158" s="145" t="e">
        <f>ABS(#REF!)</f>
        <v>#REF!</v>
      </c>
      <c r="D158" s="146" t="e">
        <f>ABS(C158*30.2*0.000000001)</f>
        <v>#REF!</v>
      </c>
      <c r="E158" s="146" t="e">
        <f>#REF!/D158</f>
        <v>#REF!</v>
      </c>
    </row>
    <row r="159" spans="1:37">
      <c r="A159" s="503"/>
      <c r="B159" s="144" t="s">
        <v>106</v>
      </c>
      <c r="C159" s="147" t="e">
        <f>ABS(#REF!)</f>
        <v>#REF!</v>
      </c>
      <c r="D159" s="148" t="e">
        <f>ABS(C159*30.2*0.000000001)</f>
        <v>#REF!</v>
      </c>
      <c r="E159" s="148" t="e">
        <f>#REF!/D159</f>
        <v>#REF!</v>
      </c>
    </row>
    <row r="160" spans="1:37">
      <c r="A160" s="503"/>
      <c r="B160" s="149" t="s">
        <v>109</v>
      </c>
      <c r="C160" s="150" t="e">
        <f>ABS(#REF!)</f>
        <v>#REF!</v>
      </c>
      <c r="D160" s="148" t="e">
        <f>ABS(C160*30.2*0.000000001)</f>
        <v>#REF!</v>
      </c>
      <c r="E160" s="151" t="e">
        <f>#REF!/D160</f>
        <v>#REF!</v>
      </c>
    </row>
    <row r="161" spans="1:12">
      <c r="C161" s="13"/>
      <c r="D161" s="152" t="s">
        <v>179</v>
      </c>
      <c r="E161" s="153" t="e">
        <f>SUM(E158:E160)</f>
        <v>#REF!</v>
      </c>
    </row>
    <row r="163" spans="1:12">
      <c r="B163" s="143" t="s">
        <v>143</v>
      </c>
      <c r="C163" s="18" t="s">
        <v>176</v>
      </c>
      <c r="D163" s="19" t="s">
        <v>177</v>
      </c>
      <c r="E163" s="19" t="s">
        <v>178</v>
      </c>
    </row>
    <row r="164" spans="1:12">
      <c r="A164" s="503" t="s">
        <v>44</v>
      </c>
      <c r="B164" s="144" t="s">
        <v>103</v>
      </c>
      <c r="C164" s="145">
        <f>ABS(H156)</f>
        <v>0</v>
      </c>
      <c r="D164" s="146">
        <f>ABS(C164*30.2*0.000000001)</f>
        <v>0</v>
      </c>
      <c r="E164" s="146" t="e">
        <f>#REF!/D164</f>
        <v>#REF!</v>
      </c>
    </row>
    <row r="165" spans="1:12">
      <c r="A165" s="503"/>
      <c r="B165" s="144" t="s">
        <v>106</v>
      </c>
      <c r="C165" s="147">
        <f>ABS(K156)</f>
        <v>3.4332379750941935</v>
      </c>
      <c r="D165" s="148">
        <f>ABS(C165*30.2*0.000000001)</f>
        <v>1.0368378684784465E-7</v>
      </c>
      <c r="E165" s="148" t="e">
        <f>#REF!/D165</f>
        <v>#REF!</v>
      </c>
    </row>
    <row r="166" spans="1:12">
      <c r="A166" s="503"/>
      <c r="B166" s="149" t="s">
        <v>109</v>
      </c>
      <c r="C166" s="150">
        <f>ABS(G158)</f>
        <v>0</v>
      </c>
      <c r="D166" s="148">
        <f>ABS(C166*30.2*0.000000001)</f>
        <v>0</v>
      </c>
      <c r="E166" s="151" t="e">
        <f>#REF!/D166</f>
        <v>#REF!</v>
      </c>
    </row>
    <row r="167" spans="1:12">
      <c r="C167" s="13"/>
      <c r="D167" s="152" t="s">
        <v>179</v>
      </c>
      <c r="E167" s="153" t="e">
        <f>SUM(E164:E166)</f>
        <v>#REF!</v>
      </c>
    </row>
    <row r="168" spans="1:12">
      <c r="C168" s="13"/>
      <c r="D168" s="47"/>
      <c r="E168" s="154"/>
    </row>
    <row r="169" spans="1:12">
      <c r="A169" s="37" t="s">
        <v>180</v>
      </c>
    </row>
    <row r="170" spans="1:12">
      <c r="C170" s="504" t="s">
        <v>181</v>
      </c>
      <c r="D170" s="504"/>
      <c r="E170" s="504"/>
      <c r="F170" s="504"/>
      <c r="G170" s="504" t="s">
        <v>182</v>
      </c>
      <c r="H170" s="504"/>
      <c r="I170" s="504"/>
      <c r="J170" s="504"/>
    </row>
    <row r="171" spans="1:12">
      <c r="B171" s="108" t="s">
        <v>44</v>
      </c>
      <c r="C171" s="155" t="s">
        <v>183</v>
      </c>
      <c r="D171" s="156" t="s">
        <v>184</v>
      </c>
      <c r="E171" s="157" t="s">
        <v>185</v>
      </c>
      <c r="F171" s="158" t="s">
        <v>157</v>
      </c>
      <c r="G171" s="155" t="s">
        <v>183</v>
      </c>
      <c r="H171" s="156" t="s">
        <v>184</v>
      </c>
      <c r="I171" s="157" t="s">
        <v>185</v>
      </c>
      <c r="J171" s="108" t="s">
        <v>157</v>
      </c>
      <c r="K171" s="109" t="s">
        <v>161</v>
      </c>
    </row>
    <row r="172" spans="1:12">
      <c r="B172" s="159" t="s">
        <v>103</v>
      </c>
      <c r="C172" s="160"/>
      <c r="D172" s="161"/>
      <c r="E172" s="162"/>
      <c r="F172" s="163" t="e">
        <f>AVERAGE(C172:E172)</f>
        <v>#DIV/0!</v>
      </c>
      <c r="G172" s="164"/>
      <c r="H172" s="161"/>
      <c r="I172" s="162"/>
      <c r="J172" s="67" t="e">
        <f>AVERAGE(G172:I172)</f>
        <v>#DIV/0!</v>
      </c>
      <c r="K172" s="114" t="e">
        <f>J172-F172</f>
        <v>#DIV/0!</v>
      </c>
    </row>
    <row r="173" spans="1:12">
      <c r="B173" s="165" t="s">
        <v>106</v>
      </c>
      <c r="C173" s="166"/>
      <c r="D173" s="167"/>
      <c r="E173" s="168"/>
      <c r="F173" s="169" t="e">
        <f>AVERAGE(C173:E173)</f>
        <v>#DIV/0!</v>
      </c>
      <c r="G173" s="170"/>
      <c r="H173" s="167"/>
      <c r="I173" s="168"/>
      <c r="J173" s="73" t="e">
        <f>AVERAGE(G173:I173)</f>
        <v>#DIV/0!</v>
      </c>
      <c r="K173" s="119" t="e">
        <f>J173-F173</f>
        <v>#DIV/0!</v>
      </c>
    </row>
    <row r="174" spans="1:12">
      <c r="B174" s="171" t="s">
        <v>109</v>
      </c>
      <c r="C174" s="172"/>
      <c r="D174" s="173"/>
      <c r="E174" s="174"/>
      <c r="F174" s="175" t="e">
        <f>AVERAGE(C174:E174)</f>
        <v>#DIV/0!</v>
      </c>
      <c r="G174" s="176"/>
      <c r="H174" s="173"/>
      <c r="I174" s="174"/>
      <c r="J174" s="80" t="e">
        <f>AVERAGE(G174:I174)</f>
        <v>#DIV/0!</v>
      </c>
      <c r="K174" s="124" t="e">
        <f>J174-F174</f>
        <v>#DIV/0!</v>
      </c>
    </row>
    <row r="175" spans="1:12">
      <c r="B175" s="2"/>
      <c r="D175" s="177"/>
      <c r="E175" s="177"/>
      <c r="F175" s="177"/>
      <c r="G175" s="177"/>
      <c r="H175" s="177"/>
      <c r="I175" s="177"/>
      <c r="J175" s="177"/>
      <c r="K175" s="177" t="e">
        <f>AVERAGE(K172:K174)</f>
        <v>#DIV/0!</v>
      </c>
      <c r="L175" t="s">
        <v>163</v>
      </c>
    </row>
    <row r="176" spans="1:12">
      <c r="K176" s="177" t="e">
        <f>K175/M148</f>
        <v>#DIV/0!</v>
      </c>
      <c r="L176" t="s">
        <v>146</v>
      </c>
    </row>
    <row r="177" spans="1:12">
      <c r="A177" s="1" t="s">
        <v>186</v>
      </c>
      <c r="B177" s="1">
        <v>15006</v>
      </c>
      <c r="C177" s="2" t="s">
        <v>187</v>
      </c>
    </row>
    <row r="178" spans="1:12">
      <c r="B178" s="178">
        <f>0.001*B177/0.45359237</f>
        <v>33.082567063462726</v>
      </c>
      <c r="C178" s="2" t="s">
        <v>188</v>
      </c>
    </row>
    <row r="180" spans="1:12">
      <c r="A180" s="1" t="s">
        <v>189</v>
      </c>
      <c r="B180" s="178" t="e">
        <f>ABS(1000*B178/(3*K176))</f>
        <v>#DIV/0!</v>
      </c>
      <c r="C180" s="2" t="s">
        <v>165</v>
      </c>
    </row>
    <row r="181" spans="1:12">
      <c r="A181" s="1" t="s">
        <v>190</v>
      </c>
      <c r="B181" s="178" t="e">
        <f>100*(B180-M146)/M146</f>
        <v>#DIV/0!</v>
      </c>
      <c r="C181" s="2" t="s">
        <v>167</v>
      </c>
    </row>
    <row r="182" spans="1:12">
      <c r="B182" s="178"/>
    </row>
    <row r="184" spans="1:12">
      <c r="B184" s="2"/>
      <c r="C184" s="504" t="s">
        <v>181</v>
      </c>
      <c r="D184" s="504"/>
      <c r="E184" s="504"/>
      <c r="F184" s="504"/>
      <c r="G184" s="506" t="s">
        <v>182</v>
      </c>
      <c r="H184" s="506"/>
      <c r="I184" s="506"/>
      <c r="J184" s="506"/>
      <c r="K184" s="177"/>
    </row>
    <row r="185" spans="1:12">
      <c r="B185" s="59" t="s">
        <v>191</v>
      </c>
      <c r="C185" s="179" t="s">
        <v>183</v>
      </c>
      <c r="D185" s="59" t="s">
        <v>184</v>
      </c>
      <c r="E185" s="59" t="s">
        <v>185</v>
      </c>
      <c r="F185" s="179" t="s">
        <v>157</v>
      </c>
      <c r="G185" s="59" t="s">
        <v>183</v>
      </c>
      <c r="H185" s="179" t="s">
        <v>184</v>
      </c>
      <c r="I185" s="59" t="s">
        <v>185</v>
      </c>
      <c r="J185" s="179" t="s">
        <v>157</v>
      </c>
      <c r="K185" s="59" t="s">
        <v>161</v>
      </c>
    </row>
    <row r="186" spans="1:12">
      <c r="B186" s="17" t="s">
        <v>103</v>
      </c>
      <c r="C186" s="180"/>
      <c r="D186" s="67"/>
      <c r="E186" s="67"/>
      <c r="F186" s="163" t="e">
        <f>AVERAGE(C186:E186)</f>
        <v>#DIV/0!</v>
      </c>
      <c r="G186" s="67"/>
      <c r="H186" s="163"/>
      <c r="I186" s="67"/>
      <c r="J186" s="114" t="e">
        <f>AVERAGE(G186:I186)</f>
        <v>#DIV/0!</v>
      </c>
      <c r="K186" s="61" t="e">
        <f>J186-F186</f>
        <v>#DIV/0!</v>
      </c>
    </row>
    <row r="187" spans="1:12">
      <c r="B187" s="20" t="s">
        <v>106</v>
      </c>
      <c r="C187" s="181"/>
      <c r="D187" s="73"/>
      <c r="E187" s="73"/>
      <c r="F187" s="169" t="e">
        <f>AVERAGE(C187:E187)</f>
        <v>#DIV/0!</v>
      </c>
      <c r="G187" s="73"/>
      <c r="H187" s="169"/>
      <c r="I187" s="73"/>
      <c r="J187" s="119" t="e">
        <f>AVERAGE(G187:I187)</f>
        <v>#DIV/0!</v>
      </c>
      <c r="K187" s="36" t="e">
        <f>J187-F187</f>
        <v>#DIV/0!</v>
      </c>
    </row>
    <row r="188" spans="1:12">
      <c r="B188" s="25" t="s">
        <v>109</v>
      </c>
      <c r="C188" s="182"/>
      <c r="D188" s="80"/>
      <c r="E188" s="80"/>
      <c r="F188" s="175" t="e">
        <f>AVERAGE(C188:E188)</f>
        <v>#DIV/0!</v>
      </c>
      <c r="G188" s="80"/>
      <c r="H188" s="175"/>
      <c r="I188" s="80"/>
      <c r="J188" s="124" t="e">
        <f>AVERAGE(G188:I188)</f>
        <v>#DIV/0!</v>
      </c>
      <c r="K188" s="53" t="e">
        <f>J188-F188</f>
        <v>#DIV/0!</v>
      </c>
    </row>
    <row r="189" spans="1:12">
      <c r="B189" s="2"/>
      <c r="D189" s="177"/>
      <c r="E189" s="177"/>
      <c r="F189" s="177"/>
      <c r="G189" s="177"/>
      <c r="H189" s="177"/>
      <c r="I189" s="177"/>
      <c r="J189" s="177"/>
      <c r="K189" s="177" t="e">
        <f>AVERAGE(K186:K188)</f>
        <v>#DIV/0!</v>
      </c>
      <c r="L189" t="s">
        <v>163</v>
      </c>
    </row>
    <row r="190" spans="1:12">
      <c r="K190" s="177" t="e">
        <f>K189/N153</f>
        <v>#DIV/0!</v>
      </c>
      <c r="L190" t="s">
        <v>146</v>
      </c>
    </row>
    <row r="192" spans="1:12">
      <c r="A192" s="1" t="s">
        <v>186</v>
      </c>
      <c r="B192" s="1">
        <v>21133</v>
      </c>
      <c r="C192" s="2" t="s">
        <v>187</v>
      </c>
    </row>
    <row r="193" spans="1:13">
      <c r="B193" s="178">
        <f>0.001*B192/0.45359237</f>
        <v>46.590289867530174</v>
      </c>
      <c r="C193" s="2" t="s">
        <v>188</v>
      </c>
    </row>
    <row r="195" spans="1:13">
      <c r="A195" s="1" t="s">
        <v>189</v>
      </c>
      <c r="B195" s="178" t="e">
        <f>ABS(1000*B193/(3*K190))</f>
        <v>#DIV/0!</v>
      </c>
      <c r="C195" s="2" t="s">
        <v>165</v>
      </c>
    </row>
    <row r="196" spans="1:13">
      <c r="A196" s="1" t="s">
        <v>190</v>
      </c>
      <c r="B196" s="178" t="e">
        <f>100*(B195-N154)/N154</f>
        <v>#DIV/0!</v>
      </c>
      <c r="C196" s="2" t="s">
        <v>167</v>
      </c>
    </row>
    <row r="197" spans="1:13">
      <c r="B197" s="178"/>
    </row>
    <row r="198" spans="1:13">
      <c r="A198" s="1" t="s">
        <v>192</v>
      </c>
      <c r="B198" s="178">
        <f>3*1000*9.6*10/(3*1188*6.4)</f>
        <v>12.626262626262625</v>
      </c>
      <c r="C198" s="2" t="s">
        <v>146</v>
      </c>
      <c r="D198" t="s">
        <v>193</v>
      </c>
    </row>
    <row r="199" spans="1:13">
      <c r="A199" s="1" t="s">
        <v>194</v>
      </c>
      <c r="B199" s="178">
        <f>3*1000*5*10/(3*1364*10.2)</f>
        <v>3.5938128917256056</v>
      </c>
      <c r="C199" s="2" t="s">
        <v>146</v>
      </c>
      <c r="K199" s="443">
        <v>41200</v>
      </c>
    </row>
    <row r="201" spans="1:13" ht="15.75" thickBot="1"/>
    <row r="202" spans="1:13" ht="39" thickBot="1">
      <c r="B202" s="183"/>
      <c r="C202" s="184" t="s">
        <v>195</v>
      </c>
      <c r="D202" s="185" t="s">
        <v>196</v>
      </c>
      <c r="E202" s="125" t="s">
        <v>197</v>
      </c>
      <c r="F202" s="126" t="s">
        <v>198</v>
      </c>
      <c r="H202" s="1"/>
      <c r="I202" s="183"/>
      <c r="J202" s="442"/>
      <c r="K202" s="185"/>
      <c r="L202" s="125"/>
      <c r="M202" s="126"/>
    </row>
    <row r="203" spans="1:13" ht="15.75" thickBot="1">
      <c r="A203" s="503" t="s">
        <v>43</v>
      </c>
      <c r="B203" s="58" t="s">
        <v>50</v>
      </c>
      <c r="C203" s="186">
        <v>0.61346854487883296</v>
      </c>
      <c r="D203" s="113">
        <v>107.803795013583</v>
      </c>
      <c r="E203" s="505">
        <f>AVERAGE(C203:C205)</f>
        <v>0.60337925308446705</v>
      </c>
      <c r="F203" s="68">
        <f>100*(C203-$E$203)/$E$203</f>
        <v>1.6721310424230822</v>
      </c>
      <c r="H203" s="503"/>
      <c r="I203" s="58"/>
      <c r="J203" s="186"/>
      <c r="K203" s="113"/>
      <c r="L203" s="505"/>
      <c r="M203" s="68"/>
    </row>
    <row r="204" spans="1:13" ht="15.75" thickBot="1">
      <c r="A204" s="503"/>
      <c r="B204" s="35" t="s">
        <v>56</v>
      </c>
      <c r="C204" s="187">
        <v>0.60380166610408204</v>
      </c>
      <c r="D204" s="118">
        <v>203.56643470169101</v>
      </c>
      <c r="E204" s="505"/>
      <c r="F204" s="74">
        <f>100*(C204-$E$203)/$E$203</f>
        <v>7.0007879365360459E-2</v>
      </c>
      <c r="H204" s="503"/>
      <c r="I204" s="35"/>
      <c r="J204" s="187"/>
      <c r="K204" s="118"/>
      <c r="L204" s="505"/>
      <c r="M204" s="74"/>
    </row>
    <row r="205" spans="1:13" ht="15.75" thickBot="1">
      <c r="A205" s="503"/>
      <c r="B205" s="52" t="s">
        <v>62</v>
      </c>
      <c r="C205" s="188">
        <v>0.59286754827048604</v>
      </c>
      <c r="D205" s="123">
        <v>-107.47892527380399</v>
      </c>
      <c r="E205" s="505"/>
      <c r="F205" s="81">
        <f>100*(C205-$E$203)/$E$203</f>
        <v>-1.7421389217884611</v>
      </c>
      <c r="H205" s="503"/>
      <c r="I205" s="52"/>
      <c r="J205" s="188"/>
      <c r="K205" s="123"/>
      <c r="L205" s="505"/>
      <c r="M205" s="81"/>
    </row>
    <row r="206" spans="1:13" ht="15.75" thickBot="1">
      <c r="A206" s="503"/>
      <c r="B206" s="32" t="s">
        <v>68</v>
      </c>
      <c r="C206" s="189">
        <v>0.50366870839110001</v>
      </c>
      <c r="D206" s="190">
        <v>-487.20866601477297</v>
      </c>
      <c r="E206" s="505">
        <f>AVERAGE(C206:C208)</f>
        <v>0.49535744320011627</v>
      </c>
      <c r="F206" s="68">
        <f>100*(C206-$E$206)/$E$206</f>
        <v>1.6778318979707199</v>
      </c>
      <c r="H206" s="503"/>
      <c r="I206" s="32"/>
      <c r="J206" s="189"/>
      <c r="K206" s="190"/>
      <c r="L206" s="505"/>
      <c r="M206" s="68"/>
    </row>
    <row r="207" spans="1:13" ht="15.75" thickBot="1">
      <c r="A207" s="503"/>
      <c r="B207" s="35" t="s">
        <v>74</v>
      </c>
      <c r="C207" s="187">
        <v>0.48779439163011801</v>
      </c>
      <c r="D207" s="118">
        <v>-253.31999616341</v>
      </c>
      <c r="E207" s="505"/>
      <c r="F207" s="74">
        <f>100*(C207-$E$206)/$E$206</f>
        <v>-1.5267867019700578</v>
      </c>
      <c r="H207" s="503"/>
      <c r="I207" s="35"/>
      <c r="J207" s="187"/>
      <c r="K207" s="118"/>
      <c r="L207" s="505"/>
      <c r="M207" s="74"/>
    </row>
    <row r="208" spans="1:13" ht="15.75" thickBot="1">
      <c r="A208" s="503"/>
      <c r="B208" s="52" t="s">
        <v>80</v>
      </c>
      <c r="C208" s="188">
        <v>0.494609229579131</v>
      </c>
      <c r="D208" s="123">
        <v>535.50406116352406</v>
      </c>
      <c r="E208" s="505"/>
      <c r="F208" s="81">
        <f>100*(C208-$E$206)/$E$206</f>
        <v>-0.15104519600061703</v>
      </c>
      <c r="H208" s="503"/>
      <c r="I208" s="52"/>
      <c r="J208" s="188"/>
      <c r="K208" s="123"/>
      <c r="L208" s="505"/>
      <c r="M208" s="81"/>
    </row>
    <row r="209" spans="1:13" ht="15.75" thickBot="1">
      <c r="A209" s="503" t="s">
        <v>44</v>
      </c>
      <c r="B209" s="58" t="s">
        <v>52</v>
      </c>
      <c r="C209" s="186">
        <v>0.34093867991743698</v>
      </c>
      <c r="D209" s="113">
        <v>-401.32066251105499</v>
      </c>
      <c r="E209" s="505">
        <f>AVERAGE(C209:C211)</f>
        <v>0.33798233262461591</v>
      </c>
      <c r="F209" s="68">
        <f>100*(C209-$E$209)/$E$209</f>
        <v>0.87470468348550434</v>
      </c>
      <c r="H209" s="503"/>
      <c r="I209" s="58"/>
      <c r="J209" s="186"/>
      <c r="K209" s="113"/>
      <c r="L209" s="505"/>
      <c r="M209" s="68"/>
    </row>
    <row r="210" spans="1:13" ht="15.75" thickBot="1">
      <c r="A210" s="503"/>
      <c r="B210" s="35" t="s">
        <v>58</v>
      </c>
      <c r="C210" s="187">
        <v>0.33908183849670698</v>
      </c>
      <c r="D210" s="118">
        <v>-280.80609724571701</v>
      </c>
      <c r="E210" s="505"/>
      <c r="F210" s="74">
        <f>100*(C210-$E$209)/$E$209</f>
        <v>0.32531459959838965</v>
      </c>
      <c r="H210" s="503"/>
      <c r="I210" s="35"/>
      <c r="J210" s="187"/>
      <c r="K210" s="118"/>
      <c r="L210" s="505"/>
      <c r="M210" s="74"/>
    </row>
    <row r="211" spans="1:13" ht="15.75" thickBot="1">
      <c r="A211" s="503"/>
      <c r="B211" s="52" t="s">
        <v>64</v>
      </c>
      <c r="C211" s="188">
        <v>0.333926479459704</v>
      </c>
      <c r="D211" s="123">
        <v>411.328098170462</v>
      </c>
      <c r="E211" s="505"/>
      <c r="F211" s="81">
        <f>100*(C211-$E$209)/$E$209</f>
        <v>-1.2000192830838283</v>
      </c>
      <c r="H211" s="503"/>
      <c r="I211" s="52"/>
      <c r="J211" s="188"/>
      <c r="K211" s="123"/>
      <c r="L211" s="505"/>
      <c r="M211" s="81"/>
    </row>
    <row r="212" spans="1:13" ht="15.75" thickBot="1">
      <c r="A212" s="503"/>
      <c r="B212" s="32" t="s">
        <v>70</v>
      </c>
      <c r="C212" s="189">
        <v>0.41409212222719399</v>
      </c>
      <c r="D212" s="190">
        <v>-32.215432593988297</v>
      </c>
      <c r="E212" s="505">
        <f>AVERAGE(C212:C214)</f>
        <v>0.41001755251236932</v>
      </c>
      <c r="F212" s="68">
        <f>100*(C212-$E$212)/$E$212</f>
        <v>0.99375494777183981</v>
      </c>
      <c r="H212" s="503"/>
      <c r="I212" s="32"/>
      <c r="J212" s="189"/>
      <c r="K212" s="190"/>
      <c r="L212" s="505"/>
      <c r="M212" s="68"/>
    </row>
    <row r="213" spans="1:13" ht="15.75" thickBot="1">
      <c r="A213" s="503"/>
      <c r="B213" s="35" t="s">
        <v>76</v>
      </c>
      <c r="C213" s="187">
        <v>0.411714106325059</v>
      </c>
      <c r="D213" s="118">
        <v>412.72671451755798</v>
      </c>
      <c r="E213" s="505"/>
      <c r="F213" s="74">
        <f>100*(C213-$E$212)/$E$212</f>
        <v>0.41377589868875225</v>
      </c>
      <c r="H213" s="503"/>
      <c r="I213" s="35"/>
      <c r="J213" s="187"/>
      <c r="K213" s="118"/>
      <c r="L213" s="505"/>
      <c r="M213" s="74"/>
    </row>
    <row r="214" spans="1:13" ht="15.75" thickBot="1">
      <c r="A214" s="503"/>
      <c r="B214" s="52" t="s">
        <v>82</v>
      </c>
      <c r="C214" s="188">
        <v>0.40424642898485502</v>
      </c>
      <c r="D214" s="123">
        <v>-409.94972572414503</v>
      </c>
      <c r="E214" s="505"/>
      <c r="F214" s="81">
        <f>100*(C214-$E$212)/$E$212</f>
        <v>-1.4075308464605785</v>
      </c>
      <c r="H214" s="503"/>
      <c r="I214" s="52"/>
      <c r="J214" s="188"/>
      <c r="K214" s="123"/>
      <c r="L214" s="505"/>
      <c r="M214" s="81"/>
    </row>
    <row r="218" spans="1:13">
      <c r="B218" s="504" t="s">
        <v>199</v>
      </c>
      <c r="C218" s="504"/>
      <c r="D218" s="504"/>
      <c r="E218" s="504"/>
    </row>
    <row r="219" spans="1:13">
      <c r="A219" s="127" t="s">
        <v>143</v>
      </c>
      <c r="B219" s="16" t="s">
        <v>200</v>
      </c>
      <c r="C219" s="191" t="s">
        <v>201</v>
      </c>
      <c r="D219" s="16" t="s">
        <v>202</v>
      </c>
      <c r="E219" s="128" t="s">
        <v>203</v>
      </c>
    </row>
    <row r="220" spans="1:13">
      <c r="A220" s="129" t="s">
        <v>204</v>
      </c>
      <c r="B220" s="33"/>
      <c r="C220" s="192"/>
      <c r="D220" s="33"/>
      <c r="E220" s="55"/>
    </row>
    <row r="221" spans="1:13">
      <c r="A221" s="131" t="s">
        <v>205</v>
      </c>
      <c r="B221" s="36"/>
      <c r="C221" s="193"/>
      <c r="D221" s="36"/>
      <c r="E221" s="56"/>
    </row>
    <row r="222" spans="1:13">
      <c r="A222" s="131" t="s">
        <v>206</v>
      </c>
      <c r="B222" s="36"/>
      <c r="C222" s="193"/>
      <c r="D222" s="36"/>
      <c r="E222" s="56"/>
    </row>
    <row r="223" spans="1:13">
      <c r="A223" s="131" t="s">
        <v>207</v>
      </c>
      <c r="B223" s="36"/>
      <c r="C223" s="193"/>
      <c r="D223" s="36"/>
      <c r="E223" s="56"/>
    </row>
    <row r="224" spans="1:13">
      <c r="A224" s="131" t="s">
        <v>208</v>
      </c>
      <c r="B224" s="36"/>
      <c r="C224" s="193"/>
      <c r="D224" s="36"/>
      <c r="E224" s="56"/>
    </row>
    <row r="225" spans="1:18">
      <c r="A225" s="132" t="s">
        <v>209</v>
      </c>
      <c r="B225" s="53"/>
      <c r="C225" s="194"/>
      <c r="D225" s="53"/>
      <c r="E225" s="57"/>
    </row>
    <row r="226" spans="1:18">
      <c r="A226" s="195" t="s">
        <v>210</v>
      </c>
      <c r="B226" s="60"/>
      <c r="C226" s="196"/>
      <c r="D226" s="61"/>
      <c r="E226" s="197"/>
    </row>
    <row r="227" spans="1:18">
      <c r="A227" s="131" t="s">
        <v>211</v>
      </c>
      <c r="B227" s="36"/>
      <c r="C227" s="193"/>
      <c r="D227" s="36"/>
      <c r="E227" s="56"/>
    </row>
    <row r="228" spans="1:18">
      <c r="A228" s="131" t="s">
        <v>212</v>
      </c>
      <c r="B228" s="36"/>
      <c r="C228" s="193"/>
      <c r="D228" s="36"/>
      <c r="E228" s="56"/>
    </row>
    <row r="229" spans="1:18">
      <c r="A229" s="131" t="s">
        <v>213</v>
      </c>
      <c r="B229" s="36"/>
      <c r="C229" s="193"/>
      <c r="D229" s="36"/>
      <c r="E229" s="56"/>
    </row>
    <row r="230" spans="1:18">
      <c r="A230" s="131" t="s">
        <v>214</v>
      </c>
      <c r="B230" s="36"/>
      <c r="C230" s="193"/>
      <c r="D230" s="36"/>
      <c r="E230" s="56"/>
    </row>
    <row r="231" spans="1:18">
      <c r="A231" s="198" t="s">
        <v>215</v>
      </c>
      <c r="B231" s="199"/>
      <c r="C231" s="200"/>
      <c r="D231" s="201"/>
      <c r="E231" s="202"/>
    </row>
    <row r="232" spans="1:18">
      <c r="A232" s="129" t="s">
        <v>216</v>
      </c>
      <c r="B232" s="33"/>
      <c r="C232" s="192"/>
      <c r="D232" s="33"/>
      <c r="E232" s="55"/>
    </row>
    <row r="233" spans="1:18">
      <c r="A233" s="131" t="s">
        <v>217</v>
      </c>
      <c r="B233" s="36"/>
      <c r="C233" s="193"/>
      <c r="D233" s="36"/>
      <c r="E233" s="56"/>
    </row>
    <row r="234" spans="1:18">
      <c r="A234" s="132" t="s">
        <v>218</v>
      </c>
      <c r="B234" s="53"/>
      <c r="C234" s="194"/>
      <c r="D234" s="53"/>
      <c r="E234" s="57"/>
    </row>
    <row r="235" spans="1:18">
      <c r="A235" s="203"/>
      <c r="B235" s="13"/>
      <c r="C235" s="13"/>
      <c r="D235" s="47"/>
      <c r="E235" s="47"/>
    </row>
    <row r="236" spans="1:18">
      <c r="A236" s="203"/>
      <c r="B236" s="13"/>
      <c r="C236" s="13"/>
      <c r="D236" s="47"/>
      <c r="E236" s="47"/>
    </row>
    <row r="237" spans="1:18">
      <c r="A237" s="203"/>
      <c r="B237" s="13"/>
      <c r="C237" s="13"/>
      <c r="D237" s="47"/>
      <c r="E237" s="47"/>
    </row>
    <row r="238" spans="1:18" ht="15.75" thickBot="1">
      <c r="A238" s="37" t="s">
        <v>219</v>
      </c>
      <c r="K238" s="135" t="s">
        <v>221</v>
      </c>
    </row>
    <row r="239" spans="1:18" ht="15.75" thickBot="1">
      <c r="D239" s="504" t="s">
        <v>143</v>
      </c>
      <c r="E239" s="504"/>
      <c r="F239" s="504"/>
      <c r="G239" s="504"/>
      <c r="H239" s="504"/>
      <c r="I239" s="504"/>
      <c r="K239" s="1"/>
      <c r="L239" s="2"/>
      <c r="M239" s="504" t="s">
        <v>143</v>
      </c>
      <c r="N239" s="504"/>
      <c r="O239" s="504"/>
      <c r="P239" s="504"/>
      <c r="Q239" s="504"/>
      <c r="R239" s="504"/>
    </row>
    <row r="240" spans="1:18" ht="15.75" customHeight="1" thickBot="1">
      <c r="D240" s="204" t="s">
        <v>50</v>
      </c>
      <c r="E240" s="205" t="s">
        <v>56</v>
      </c>
      <c r="F240" s="206" t="s">
        <v>62</v>
      </c>
      <c r="G240" s="204" t="s">
        <v>68</v>
      </c>
      <c r="H240" s="205" t="s">
        <v>74</v>
      </c>
      <c r="I240" s="207" t="s">
        <v>80</v>
      </c>
      <c r="K240" s="1"/>
      <c r="L240" s="2"/>
      <c r="M240" s="204" t="s">
        <v>50</v>
      </c>
      <c r="N240" s="205" t="s">
        <v>56</v>
      </c>
      <c r="O240" s="206" t="s">
        <v>62</v>
      </c>
      <c r="P240" s="204" t="s">
        <v>68</v>
      </c>
      <c r="Q240" s="205" t="s">
        <v>74</v>
      </c>
      <c r="R240" s="207" t="s">
        <v>80</v>
      </c>
    </row>
    <row r="241" spans="2:18">
      <c r="B241" s="503" t="s">
        <v>220</v>
      </c>
      <c r="C241" s="17" t="s">
        <v>50</v>
      </c>
      <c r="D241" s="208">
        <v>4286.8815400000003</v>
      </c>
      <c r="E241" s="161">
        <v>1722.6671799999999</v>
      </c>
      <c r="F241" s="209">
        <v>1736.0657177999999</v>
      </c>
      <c r="G241" s="164">
        <v>-6.0388799999998399</v>
      </c>
      <c r="H241" s="161">
        <v>5.0252389999999902</v>
      </c>
      <c r="I241" s="162">
        <v>-0.96622000000013497</v>
      </c>
      <c r="K241" s="503" t="s">
        <v>220</v>
      </c>
      <c r="L241" s="17" t="s">
        <v>50</v>
      </c>
      <c r="M241" s="208"/>
      <c r="N241" s="161"/>
      <c r="O241" s="209"/>
      <c r="P241" s="164"/>
      <c r="Q241" s="161"/>
      <c r="R241" s="162"/>
    </row>
    <row r="242" spans="2:18">
      <c r="B242" s="503"/>
      <c r="C242" s="20" t="s">
        <v>56</v>
      </c>
      <c r="D242" s="170">
        <v>1690.6259399999999</v>
      </c>
      <c r="E242" s="210">
        <v>4205.5837799999999</v>
      </c>
      <c r="F242" s="211">
        <v>1706.3581177999999</v>
      </c>
      <c r="G242" s="170">
        <v>4.8478000000001202</v>
      </c>
      <c r="H242" s="167">
        <v>20.082819199999999</v>
      </c>
      <c r="I242" s="168">
        <v>3.2952399999999198</v>
      </c>
      <c r="K242" s="503"/>
      <c r="L242" s="20" t="s">
        <v>56</v>
      </c>
      <c r="M242" s="170"/>
      <c r="N242" s="210"/>
      <c r="O242" s="211"/>
      <c r="P242" s="170"/>
      <c r="Q242" s="167"/>
      <c r="R242" s="168"/>
    </row>
    <row r="243" spans="2:18" ht="15.75" thickBot="1">
      <c r="B243" s="503"/>
      <c r="C243" s="25" t="s">
        <v>62</v>
      </c>
      <c r="D243" s="176">
        <v>1673.4167399999999</v>
      </c>
      <c r="E243" s="173">
        <v>1664.1707799999999</v>
      </c>
      <c r="F243" s="212">
        <v>4161.3581178000004</v>
      </c>
      <c r="G243" s="176">
        <v>-4.8835399999998703</v>
      </c>
      <c r="H243" s="173">
        <v>6.0911999999999802</v>
      </c>
      <c r="I243" s="174">
        <v>-6.3960600000001504</v>
      </c>
      <c r="K243" s="503"/>
      <c r="L243" s="25" t="s">
        <v>62</v>
      </c>
      <c r="M243" s="176"/>
      <c r="N243" s="173"/>
      <c r="O243" s="212"/>
      <c r="P243" s="176"/>
      <c r="Q243" s="173"/>
      <c r="R243" s="174"/>
    </row>
    <row r="244" spans="2:18">
      <c r="B244" s="503"/>
      <c r="C244" s="28" t="s">
        <v>68</v>
      </c>
      <c r="D244" s="213">
        <v>42.289319999999798</v>
      </c>
      <c r="E244" s="214">
        <v>-176.60830000000001</v>
      </c>
      <c r="F244" s="215">
        <v>90.093339799999995</v>
      </c>
      <c r="G244" s="216">
        <v>3526.8168000000001</v>
      </c>
      <c r="H244" s="214">
        <v>-650.09236399999998</v>
      </c>
      <c r="I244" s="217">
        <v>-623.41872000000001</v>
      </c>
      <c r="K244" s="503"/>
      <c r="L244" s="28" t="s">
        <v>68</v>
      </c>
      <c r="M244" s="213"/>
      <c r="N244" s="214"/>
      <c r="O244" s="215"/>
      <c r="P244" s="216"/>
      <c r="Q244" s="214"/>
      <c r="R244" s="217"/>
    </row>
    <row r="245" spans="2:18">
      <c r="B245" s="503"/>
      <c r="C245" s="20" t="s">
        <v>74</v>
      </c>
      <c r="D245" s="170">
        <v>97.801079999999999</v>
      </c>
      <c r="E245" s="167">
        <v>36.231860000000097</v>
      </c>
      <c r="F245" s="211">
        <v>-146.28822819999999</v>
      </c>
      <c r="G245" s="170">
        <v>-605.78779999999995</v>
      </c>
      <c r="H245" s="210">
        <v>3424.6199160000001</v>
      </c>
      <c r="I245" s="168">
        <v>-626.26616000000001</v>
      </c>
      <c r="K245" s="503"/>
      <c r="L245" s="20" t="s">
        <v>74</v>
      </c>
      <c r="M245" s="170"/>
      <c r="N245" s="167"/>
      <c r="O245" s="211"/>
      <c r="P245" s="170"/>
      <c r="Q245" s="210"/>
      <c r="R245" s="168"/>
    </row>
    <row r="246" spans="2:18" ht="15.75" thickBot="1">
      <c r="B246" s="503"/>
      <c r="C246" s="25" t="s">
        <v>80</v>
      </c>
      <c r="D246" s="176">
        <v>-156.58988160000001</v>
      </c>
      <c r="E246" s="173">
        <v>98.103399999999695</v>
      </c>
      <c r="F246" s="218">
        <v>40.291967800000101</v>
      </c>
      <c r="G246" s="176">
        <v>-644.56360000000097</v>
      </c>
      <c r="H246" s="173">
        <v>-597.349244</v>
      </c>
      <c r="I246" s="219">
        <v>3457.7735600000001</v>
      </c>
      <c r="K246" s="503"/>
      <c r="L246" s="25" t="s">
        <v>80</v>
      </c>
      <c r="M246" s="176"/>
      <c r="N246" s="173"/>
      <c r="O246" s="218"/>
      <c r="P246" s="176"/>
      <c r="Q246" s="173"/>
      <c r="R246" s="219"/>
    </row>
    <row r="247" spans="2:18" ht="15.75" thickBot="1">
      <c r="B247" s="13"/>
      <c r="C247" s="203"/>
      <c r="D247" s="220"/>
      <c r="E247" s="220"/>
      <c r="F247" s="220"/>
      <c r="G247" s="220"/>
      <c r="H247" s="220"/>
      <c r="I247" s="220"/>
      <c r="K247" s="359"/>
      <c r="L247" s="362"/>
      <c r="M247" s="220"/>
      <c r="N247" s="220"/>
      <c r="O247" s="220"/>
      <c r="P247" s="220"/>
      <c r="Q247" s="220"/>
      <c r="R247" s="220"/>
    </row>
    <row r="248" spans="2:18" ht="15.75" thickBot="1">
      <c r="D248" s="504" t="s">
        <v>143</v>
      </c>
      <c r="E248" s="504"/>
      <c r="F248" s="504"/>
      <c r="G248" s="504"/>
      <c r="H248" s="504"/>
      <c r="I248" s="504"/>
      <c r="K248" s="1"/>
      <c r="L248" s="2"/>
      <c r="M248" s="504" t="s">
        <v>143</v>
      </c>
      <c r="N248" s="504"/>
      <c r="O248" s="504"/>
      <c r="P248" s="504"/>
      <c r="Q248" s="504"/>
      <c r="R248" s="504"/>
    </row>
    <row r="249" spans="2:18" ht="15.75" customHeight="1" thickBot="1">
      <c r="D249" s="155" t="s">
        <v>52</v>
      </c>
      <c r="E249" s="156" t="s">
        <v>58</v>
      </c>
      <c r="F249" s="221" t="s">
        <v>64</v>
      </c>
      <c r="G249" s="155" t="s">
        <v>70</v>
      </c>
      <c r="H249" s="156" t="s">
        <v>76</v>
      </c>
      <c r="I249" s="157" t="s">
        <v>82</v>
      </c>
      <c r="K249" s="1"/>
      <c r="L249" s="2"/>
      <c r="M249" s="155" t="s">
        <v>52</v>
      </c>
      <c r="N249" s="156" t="s">
        <v>58</v>
      </c>
      <c r="O249" s="221" t="s">
        <v>64</v>
      </c>
      <c r="P249" s="155" t="s">
        <v>70</v>
      </c>
      <c r="Q249" s="156" t="s">
        <v>76</v>
      </c>
      <c r="R249" s="157" t="s">
        <v>82</v>
      </c>
    </row>
    <row r="250" spans="2:18">
      <c r="B250" s="503" t="s">
        <v>220</v>
      </c>
      <c r="C250" s="17" t="s">
        <v>52</v>
      </c>
      <c r="D250" s="208">
        <v>2390.7763399999999</v>
      </c>
      <c r="E250" s="161">
        <v>373.36283600000002</v>
      </c>
      <c r="F250" s="209">
        <v>356.24599999998799</v>
      </c>
      <c r="G250" s="164">
        <v>-2.4047339999999102</v>
      </c>
      <c r="H250" s="161">
        <v>-1.0828199999999699</v>
      </c>
      <c r="I250" s="162">
        <v>-5.9785400000002902</v>
      </c>
      <c r="K250" s="503" t="s">
        <v>220</v>
      </c>
      <c r="L250" s="17" t="s">
        <v>52</v>
      </c>
      <c r="M250" s="208"/>
      <c r="N250" s="161"/>
      <c r="O250" s="209"/>
      <c r="P250" s="164"/>
      <c r="Q250" s="161"/>
      <c r="R250" s="162"/>
    </row>
    <row r="251" spans="2:18">
      <c r="B251" s="503"/>
      <c r="C251" s="20" t="s">
        <v>58</v>
      </c>
      <c r="D251" s="170">
        <v>364.08130499999999</v>
      </c>
      <c r="E251" s="210">
        <v>2386.5705160000002</v>
      </c>
      <c r="F251" s="211">
        <v>368.19999999998998</v>
      </c>
      <c r="G251" s="170">
        <v>13.456366000000299</v>
      </c>
      <c r="H251" s="167">
        <v>20.4942400000002</v>
      </c>
      <c r="I251" s="168">
        <v>-10.013939999999799</v>
      </c>
      <c r="K251" s="503"/>
      <c r="L251" s="20" t="s">
        <v>58</v>
      </c>
      <c r="M251" s="170"/>
      <c r="N251" s="210"/>
      <c r="O251" s="211"/>
      <c r="P251" s="170"/>
      <c r="Q251" s="167"/>
      <c r="R251" s="168"/>
    </row>
    <row r="252" spans="2:18" ht="15.75" thickBot="1">
      <c r="B252" s="503"/>
      <c r="C252" s="25" t="s">
        <v>64</v>
      </c>
      <c r="D252" s="176">
        <v>359.21656059999998</v>
      </c>
      <c r="E252" s="173">
        <v>356.52139599999998</v>
      </c>
      <c r="F252" s="212">
        <v>2337.3919999999998</v>
      </c>
      <c r="G252" s="176">
        <v>-11.7581139999999</v>
      </c>
      <c r="H252" s="173">
        <v>21.998060000000201</v>
      </c>
      <c r="I252" s="174">
        <v>22.8252400000001</v>
      </c>
      <c r="K252" s="503"/>
      <c r="L252" s="25" t="s">
        <v>64</v>
      </c>
      <c r="M252" s="176"/>
      <c r="N252" s="173"/>
      <c r="O252" s="212"/>
      <c r="P252" s="176"/>
      <c r="Q252" s="173"/>
      <c r="R252" s="174"/>
    </row>
    <row r="253" spans="2:18">
      <c r="B253" s="503"/>
      <c r="C253" s="28" t="s">
        <v>70</v>
      </c>
      <c r="D253" s="213">
        <v>79.938779999999795</v>
      </c>
      <c r="E253" s="214">
        <v>144.2179538</v>
      </c>
      <c r="F253" s="215">
        <v>-210.70200000000801</v>
      </c>
      <c r="G253" s="216">
        <v>2895.3813460000001</v>
      </c>
      <c r="H253" s="214">
        <v>325.53122000000002</v>
      </c>
      <c r="I253" s="217">
        <v>-51.462779999999398</v>
      </c>
      <c r="K253" s="503"/>
      <c r="L253" s="28" t="s">
        <v>70</v>
      </c>
      <c r="M253" s="213"/>
      <c r="N253" s="214"/>
      <c r="O253" s="215"/>
      <c r="P253" s="216"/>
      <c r="Q253" s="214"/>
      <c r="R253" s="217"/>
    </row>
    <row r="254" spans="2:18">
      <c r="B254" s="503"/>
      <c r="C254" s="20" t="s">
        <v>76</v>
      </c>
      <c r="D254" s="170">
        <v>-198.8554</v>
      </c>
      <c r="E254" s="167">
        <v>86.845533000000003</v>
      </c>
      <c r="F254" s="211">
        <v>118.399999999998</v>
      </c>
      <c r="G254" s="170">
        <v>-6.8843539999998598</v>
      </c>
      <c r="H254" s="210">
        <v>2901.2387199999998</v>
      </c>
      <c r="I254" s="168">
        <v>326.68723999999997</v>
      </c>
      <c r="K254" s="503"/>
      <c r="L254" s="20" t="s">
        <v>76</v>
      </c>
      <c r="M254" s="170"/>
      <c r="N254" s="167"/>
      <c r="O254" s="211"/>
      <c r="P254" s="170"/>
      <c r="Q254" s="210"/>
      <c r="R254" s="168"/>
    </row>
    <row r="255" spans="2:18" ht="15.75" thickBot="1">
      <c r="B255" s="503"/>
      <c r="C255" s="25" t="s">
        <v>82</v>
      </c>
      <c r="D255" s="176">
        <v>117.37488</v>
      </c>
      <c r="E255" s="173">
        <v>-188.72196400000001</v>
      </c>
      <c r="F255" s="218">
        <v>89.169999999980107</v>
      </c>
      <c r="G255" s="176">
        <v>274.60032666000001</v>
      </c>
      <c r="H255" s="173">
        <v>13.735160000000199</v>
      </c>
      <c r="I255" s="219">
        <v>2826.73326</v>
      </c>
      <c r="K255" s="503"/>
      <c r="L255" s="25" t="s">
        <v>82</v>
      </c>
      <c r="M255" s="176"/>
      <c r="N255" s="173"/>
      <c r="O255" s="218"/>
      <c r="P255" s="176"/>
      <c r="Q255" s="173"/>
      <c r="R255" s="219"/>
    </row>
    <row r="256" spans="2:18" ht="15.75" thickBot="1"/>
    <row r="257" spans="1:18" ht="15.75" thickBot="1">
      <c r="A257" s="37" t="s">
        <v>222</v>
      </c>
      <c r="D257" s="504" t="s">
        <v>143</v>
      </c>
      <c r="E257" s="504"/>
      <c r="F257" s="504"/>
      <c r="G257" s="504"/>
      <c r="H257" s="504"/>
      <c r="I257" s="504"/>
      <c r="K257" s="1"/>
      <c r="L257" s="2"/>
      <c r="M257" s="504" t="s">
        <v>143</v>
      </c>
      <c r="N257" s="504"/>
      <c r="O257" s="504"/>
      <c r="P257" s="504"/>
      <c r="Q257" s="504"/>
      <c r="R257" s="504"/>
    </row>
    <row r="258" spans="1:18" ht="15.75" thickBot="1">
      <c r="C258" s="222"/>
      <c r="D258" s="108" t="s">
        <v>223</v>
      </c>
      <c r="E258" s="158" t="s">
        <v>224</v>
      </c>
      <c r="F258" s="108" t="s">
        <v>225</v>
      </c>
      <c r="G258" s="158" t="s">
        <v>226</v>
      </c>
      <c r="H258" s="108" t="s">
        <v>226</v>
      </c>
      <c r="I258" s="109" t="s">
        <v>227</v>
      </c>
      <c r="K258" s="1"/>
      <c r="L258" s="222"/>
      <c r="M258" s="108" t="s">
        <v>223</v>
      </c>
      <c r="N258" s="158" t="s">
        <v>224</v>
      </c>
      <c r="O258" s="108" t="s">
        <v>225</v>
      </c>
      <c r="P258" s="158" t="s">
        <v>226</v>
      </c>
      <c r="Q258" s="108" t="s">
        <v>226</v>
      </c>
      <c r="R258" s="109" t="s">
        <v>227</v>
      </c>
    </row>
    <row r="259" spans="1:18">
      <c r="B259" s="503" t="s">
        <v>220</v>
      </c>
      <c r="C259" s="159" t="s">
        <v>223</v>
      </c>
      <c r="D259" s="223">
        <v>1714.653673</v>
      </c>
      <c r="E259" s="163">
        <v>-8.9596200000000596</v>
      </c>
      <c r="F259" s="67">
        <v>-4.80107999999999</v>
      </c>
      <c r="G259" s="163">
        <v>-3.8779599999999701</v>
      </c>
      <c r="H259" s="67">
        <v>6.8667399999999397</v>
      </c>
      <c r="I259" s="114">
        <v>52.8904742</v>
      </c>
      <c r="K259" s="503" t="s">
        <v>220</v>
      </c>
      <c r="L259" s="159" t="s">
        <v>223</v>
      </c>
      <c r="M259" s="223">
        <v>1750</v>
      </c>
      <c r="N259" s="163">
        <v>0</v>
      </c>
      <c r="O259" s="67">
        <v>0</v>
      </c>
      <c r="P259" s="163">
        <v>0</v>
      </c>
      <c r="Q259" s="67">
        <v>0</v>
      </c>
      <c r="R259" s="114">
        <v>0</v>
      </c>
    </row>
    <row r="260" spans="1:18">
      <c r="B260" s="503"/>
      <c r="C260" s="165" t="s">
        <v>224</v>
      </c>
      <c r="D260" s="73">
        <v>3.2672570000000101</v>
      </c>
      <c r="E260" s="224">
        <v>1673.6504</v>
      </c>
      <c r="F260" s="73">
        <v>-3.2469239999999502</v>
      </c>
      <c r="G260" s="169">
        <v>4.4119399999999898</v>
      </c>
      <c r="H260" s="73">
        <v>-0.110400000000368</v>
      </c>
      <c r="I260" s="119">
        <v>31.5296482</v>
      </c>
      <c r="K260" s="503"/>
      <c r="L260" s="165" t="s">
        <v>224</v>
      </c>
      <c r="M260" s="73">
        <v>0</v>
      </c>
      <c r="N260" s="224">
        <v>1750</v>
      </c>
      <c r="O260" s="73">
        <v>0</v>
      </c>
      <c r="P260" s="169">
        <v>0</v>
      </c>
      <c r="Q260" s="73">
        <v>0</v>
      </c>
      <c r="R260" s="119">
        <v>0</v>
      </c>
    </row>
    <row r="261" spans="1:18">
      <c r="B261" s="503"/>
      <c r="C261" s="165" t="s">
        <v>225</v>
      </c>
      <c r="D261" s="73">
        <v>7.6566438000000003</v>
      </c>
      <c r="E261" s="169">
        <v>-3.94426000000007</v>
      </c>
      <c r="F261" s="225">
        <v>730.89356799999996</v>
      </c>
      <c r="G261" s="169">
        <v>-24.520579999999899</v>
      </c>
      <c r="H261" s="73">
        <v>-1.13092000000017</v>
      </c>
      <c r="I261" s="119">
        <v>-9.6161983800000108</v>
      </c>
      <c r="K261" s="503"/>
      <c r="L261" s="165" t="s">
        <v>225</v>
      </c>
      <c r="M261" s="73">
        <v>0</v>
      </c>
      <c r="N261" s="169">
        <v>0</v>
      </c>
      <c r="O261" s="225">
        <v>750</v>
      </c>
      <c r="P261" s="169">
        <v>0</v>
      </c>
      <c r="Q261" s="73">
        <v>0</v>
      </c>
      <c r="R261" s="119">
        <v>0</v>
      </c>
    </row>
    <row r="262" spans="1:18">
      <c r="B262" s="503"/>
      <c r="C262" s="165" t="s">
        <v>228</v>
      </c>
      <c r="D262" s="73">
        <v>-2.0255698</v>
      </c>
      <c r="E262" s="226">
        <v>362.05712</v>
      </c>
      <c r="F262" s="73">
        <v>-16.893152000000001</v>
      </c>
      <c r="G262" s="224">
        <v>3005.5067800000002</v>
      </c>
      <c r="H262" s="73">
        <v>15.2493800000001</v>
      </c>
      <c r="I262" s="119">
        <v>9.2668701999999996</v>
      </c>
      <c r="K262" s="503"/>
      <c r="L262" s="165" t="s">
        <v>228</v>
      </c>
      <c r="M262" s="73">
        <v>0</v>
      </c>
      <c r="N262" s="226">
        <v>375</v>
      </c>
      <c r="O262" s="73">
        <v>0</v>
      </c>
      <c r="P262" s="224">
        <v>3000</v>
      </c>
      <c r="Q262" s="73">
        <v>0</v>
      </c>
      <c r="R262" s="119">
        <v>0</v>
      </c>
    </row>
    <row r="263" spans="1:18">
      <c r="B263" s="503"/>
      <c r="C263" s="165" t="s">
        <v>226</v>
      </c>
      <c r="D263" s="227">
        <v>-360.01376699999997</v>
      </c>
      <c r="E263" s="169">
        <v>18.9069</v>
      </c>
      <c r="F263" s="73">
        <v>-6.66368800000002</v>
      </c>
      <c r="G263" s="169">
        <v>25.615760000000002</v>
      </c>
      <c r="H263" s="225">
        <v>2974.4026600000002</v>
      </c>
      <c r="I263" s="119">
        <v>6.2319241999999999</v>
      </c>
      <c r="K263" s="503"/>
      <c r="L263" s="165" t="s">
        <v>226</v>
      </c>
      <c r="M263" s="227">
        <v>-375</v>
      </c>
      <c r="N263" s="169">
        <v>0</v>
      </c>
      <c r="O263" s="73">
        <v>0</v>
      </c>
      <c r="P263" s="169">
        <v>0</v>
      </c>
      <c r="Q263" s="225">
        <v>3000</v>
      </c>
      <c r="R263" s="119">
        <v>0</v>
      </c>
    </row>
    <row r="264" spans="1:18" ht="15.75" thickBot="1">
      <c r="B264" s="503"/>
      <c r="C264" s="171" t="s">
        <v>227</v>
      </c>
      <c r="D264" s="80">
        <v>30.904149</v>
      </c>
      <c r="E264" s="175">
        <v>7.4584800000000699</v>
      </c>
      <c r="F264" s="80">
        <v>-8.1644040000000206</v>
      </c>
      <c r="G264" s="175">
        <v>8.2384199999999304</v>
      </c>
      <c r="H264" s="80">
        <v>-7.8132600000002403</v>
      </c>
      <c r="I264" s="228">
        <v>3235.8087461999999</v>
      </c>
      <c r="K264" s="503"/>
      <c r="L264" s="171" t="s">
        <v>227</v>
      </c>
      <c r="M264" s="80">
        <v>0</v>
      </c>
      <c r="N264" s="175">
        <v>0</v>
      </c>
      <c r="O264" s="80">
        <v>0</v>
      </c>
      <c r="P264" s="175">
        <v>0</v>
      </c>
      <c r="Q264" s="80">
        <v>0</v>
      </c>
      <c r="R264" s="228">
        <v>3300</v>
      </c>
    </row>
    <row r="265" spans="1:18" ht="15.75" thickBot="1">
      <c r="C265" s="222"/>
      <c r="D265" s="220"/>
      <c r="E265" s="220"/>
      <c r="F265" s="220"/>
      <c r="G265" s="220"/>
      <c r="H265" s="220"/>
      <c r="I265" s="220"/>
      <c r="K265" s="1"/>
      <c r="L265" s="222"/>
      <c r="M265" s="220"/>
      <c r="N265" s="220"/>
      <c r="O265" s="220"/>
      <c r="P265" s="220"/>
      <c r="Q265" s="220"/>
      <c r="R265" s="220"/>
    </row>
    <row r="266" spans="1:18">
      <c r="C266" s="222"/>
      <c r="D266" s="504" t="s">
        <v>143</v>
      </c>
      <c r="E266" s="504"/>
      <c r="F266" s="504"/>
      <c r="G266" s="504"/>
      <c r="H266" s="504"/>
      <c r="I266" s="504"/>
      <c r="K266" s="1"/>
      <c r="L266" s="222"/>
      <c r="M266" s="504" t="s">
        <v>143</v>
      </c>
      <c r="N266" s="504"/>
      <c r="O266" s="504"/>
      <c r="P266" s="504"/>
      <c r="Q266" s="504"/>
      <c r="R266" s="504"/>
    </row>
    <row r="267" spans="1:18" ht="15.75" thickBot="1">
      <c r="C267" s="222"/>
      <c r="D267" s="229" t="s">
        <v>229</v>
      </c>
      <c r="E267" s="108" t="s">
        <v>230</v>
      </c>
      <c r="F267" s="158" t="s">
        <v>231</v>
      </c>
      <c r="G267" s="108" t="s">
        <v>232</v>
      </c>
      <c r="H267" s="158" t="s">
        <v>232</v>
      </c>
      <c r="I267" s="108" t="s">
        <v>233</v>
      </c>
      <c r="K267" s="1"/>
      <c r="L267" s="222"/>
      <c r="M267" s="229" t="s">
        <v>229</v>
      </c>
      <c r="N267" s="108" t="s">
        <v>230</v>
      </c>
      <c r="O267" s="158" t="s">
        <v>231</v>
      </c>
      <c r="P267" s="108" t="s">
        <v>232</v>
      </c>
      <c r="Q267" s="158" t="s">
        <v>232</v>
      </c>
      <c r="R267" s="108" t="s">
        <v>233</v>
      </c>
    </row>
    <row r="268" spans="1:18">
      <c r="B268" s="503" t="s">
        <v>220</v>
      </c>
      <c r="C268" s="230" t="s">
        <v>229</v>
      </c>
      <c r="D268" s="231">
        <v>1349.1950999999999</v>
      </c>
      <c r="E268" s="91">
        <v>12.271800000000001</v>
      </c>
      <c r="F268" s="232">
        <v>-22.005202000000001</v>
      </c>
      <c r="G268" s="91">
        <v>-7.0099800000001604</v>
      </c>
      <c r="H268" s="232">
        <v>21.05254</v>
      </c>
      <c r="I268" s="91">
        <v>-2.3873999999999298</v>
      </c>
      <c r="K268" s="503" t="s">
        <v>220</v>
      </c>
      <c r="L268" s="230" t="s">
        <v>229</v>
      </c>
      <c r="M268" s="231">
        <v>1350</v>
      </c>
      <c r="N268" s="91">
        <v>10</v>
      </c>
      <c r="O268" s="232">
        <v>30</v>
      </c>
      <c r="P268" s="91">
        <v>0</v>
      </c>
      <c r="Q268" s="232">
        <v>25</v>
      </c>
      <c r="R268" s="91">
        <v>20</v>
      </c>
    </row>
    <row r="269" spans="1:18">
      <c r="B269" s="503"/>
      <c r="C269" s="233" t="s">
        <v>230</v>
      </c>
      <c r="D269" s="118">
        <v>5.4855799999999997</v>
      </c>
      <c r="E269" s="225">
        <v>1336.96696</v>
      </c>
      <c r="F269" s="169">
        <v>-42.581543400000001</v>
      </c>
      <c r="G269" s="73">
        <v>-30.709840000000298</v>
      </c>
      <c r="H269" s="169">
        <v>5.5892200000000702</v>
      </c>
      <c r="I269" s="73">
        <v>24.888660000000002</v>
      </c>
      <c r="K269" s="503"/>
      <c r="L269" s="233" t="s">
        <v>230</v>
      </c>
      <c r="M269" s="118">
        <v>-9.69704000000036</v>
      </c>
      <c r="N269" s="225">
        <v>1350</v>
      </c>
      <c r="O269" s="169">
        <v>20.147080000000098</v>
      </c>
      <c r="P269" s="73">
        <v>-25</v>
      </c>
      <c r="Q269" s="169">
        <v>0</v>
      </c>
      <c r="R269" s="73">
        <v>20</v>
      </c>
    </row>
    <row r="270" spans="1:18">
      <c r="B270" s="503"/>
      <c r="C270" s="233" t="s">
        <v>231</v>
      </c>
      <c r="D270" s="118">
        <v>6.9915199999999</v>
      </c>
      <c r="E270" s="73">
        <v>-12.775939999999901</v>
      </c>
      <c r="F270" s="224">
        <v>1028.033876</v>
      </c>
      <c r="G270" s="73">
        <v>9.8844399999998096</v>
      </c>
      <c r="H270" s="169">
        <v>-28.425199999999698</v>
      </c>
      <c r="I270" s="73">
        <v>7.6054599999999102</v>
      </c>
      <c r="K270" s="503"/>
      <c r="L270" s="233" t="s">
        <v>231</v>
      </c>
      <c r="M270" s="118">
        <v>-0.31590000000005602</v>
      </c>
      <c r="N270" s="73">
        <v>1.7253999999999201</v>
      </c>
      <c r="O270" s="224">
        <v>1100</v>
      </c>
      <c r="P270" s="73">
        <v>-10</v>
      </c>
      <c r="Q270" s="169">
        <v>-30</v>
      </c>
      <c r="R270" s="73">
        <v>20</v>
      </c>
    </row>
    <row r="271" spans="1:18">
      <c r="B271" s="503"/>
      <c r="C271" s="233" t="s">
        <v>234</v>
      </c>
      <c r="D271" s="118">
        <v>1.4272800000000001</v>
      </c>
      <c r="E271" s="227">
        <v>-28.3186399999998</v>
      </c>
      <c r="F271" s="169">
        <v>-24.931614</v>
      </c>
      <c r="G271" s="225">
        <v>4184.8631800000003</v>
      </c>
      <c r="H271" s="169">
        <v>67.358440000000002</v>
      </c>
      <c r="I271" s="73">
        <v>2.1299399999999502</v>
      </c>
      <c r="K271" s="503"/>
      <c r="L271" s="233" t="s">
        <v>234</v>
      </c>
      <c r="M271" s="118">
        <v>10</v>
      </c>
      <c r="N271" s="227">
        <v>-15</v>
      </c>
      <c r="O271" s="169">
        <v>20</v>
      </c>
      <c r="P271" s="225">
        <v>4300</v>
      </c>
      <c r="Q271" s="169">
        <v>30</v>
      </c>
      <c r="R271" s="73">
        <v>20</v>
      </c>
    </row>
    <row r="272" spans="1:18">
      <c r="B272" s="503"/>
      <c r="C272" s="233" t="s">
        <v>232</v>
      </c>
      <c r="D272" s="234">
        <v>19.348599999999902</v>
      </c>
      <c r="E272" s="73">
        <v>-9.7890599999995001</v>
      </c>
      <c r="F272" s="169">
        <v>-76.688618000000005</v>
      </c>
      <c r="G272" s="73">
        <v>61.804000000000102</v>
      </c>
      <c r="H272" s="224">
        <v>4244.3268200000002</v>
      </c>
      <c r="I272" s="73">
        <v>14.44994</v>
      </c>
      <c r="K272" s="503"/>
      <c r="L272" s="233" t="s">
        <v>232</v>
      </c>
      <c r="M272" s="234">
        <v>30</v>
      </c>
      <c r="N272" s="73">
        <v>0</v>
      </c>
      <c r="O272" s="169">
        <v>30.422260000000101</v>
      </c>
      <c r="P272" s="73">
        <v>40</v>
      </c>
      <c r="Q272" s="224">
        <v>4300</v>
      </c>
      <c r="R272" s="73">
        <v>20</v>
      </c>
    </row>
    <row r="273" spans="2:18" ht="15.75" thickBot="1">
      <c r="B273" s="503"/>
      <c r="C273" s="235" t="s">
        <v>233</v>
      </c>
      <c r="D273" s="123">
        <v>-6.6497199999999497</v>
      </c>
      <c r="E273" s="80">
        <v>26.630960000000002</v>
      </c>
      <c r="F273" s="175">
        <v>-34.220202</v>
      </c>
      <c r="G273" s="80">
        <v>-15.512260000000101</v>
      </c>
      <c r="H273" s="175">
        <v>3.2672800000003699</v>
      </c>
      <c r="I273" s="236">
        <v>2563.5043599999999</v>
      </c>
      <c r="K273" s="503"/>
      <c r="L273" s="235" t="s">
        <v>233</v>
      </c>
      <c r="M273" s="123">
        <v>0</v>
      </c>
      <c r="N273" s="80">
        <v>10</v>
      </c>
      <c r="O273" s="175">
        <v>30</v>
      </c>
      <c r="P273" s="80">
        <v>-25</v>
      </c>
      <c r="Q273" s="175">
        <v>-15</v>
      </c>
      <c r="R273" s="236">
        <v>2600</v>
      </c>
    </row>
    <row r="274" spans="2:18" ht="15.75" thickBot="1">
      <c r="K274" s="1"/>
      <c r="L274" s="2"/>
    </row>
    <row r="275" spans="2:18">
      <c r="D275" s="504" t="s">
        <v>143</v>
      </c>
      <c r="E275" s="504"/>
      <c r="F275" s="504"/>
      <c r="G275" s="504"/>
      <c r="H275" s="504"/>
      <c r="I275" s="504"/>
      <c r="K275" s="1"/>
      <c r="L275" s="2"/>
      <c r="M275" s="504" t="s">
        <v>143</v>
      </c>
      <c r="N275" s="504"/>
      <c r="O275" s="504"/>
      <c r="P275" s="504"/>
      <c r="Q275" s="504"/>
      <c r="R275" s="504"/>
    </row>
    <row r="276" spans="2:18" ht="15.75" thickBot="1">
      <c r="C276" s="222"/>
      <c r="D276" s="127" t="s">
        <v>50</v>
      </c>
      <c r="E276" s="16" t="s">
        <v>56</v>
      </c>
      <c r="F276" s="128" t="s">
        <v>62</v>
      </c>
      <c r="G276" s="191" t="s">
        <v>68</v>
      </c>
      <c r="H276" s="16" t="s">
        <v>74</v>
      </c>
      <c r="I276" s="128" t="s">
        <v>80</v>
      </c>
      <c r="K276" s="1"/>
      <c r="L276" s="222"/>
      <c r="M276" s="127" t="s">
        <v>50</v>
      </c>
      <c r="N276" s="16" t="s">
        <v>56</v>
      </c>
      <c r="O276" s="128" t="s">
        <v>62</v>
      </c>
      <c r="P276" s="191" t="s">
        <v>68</v>
      </c>
      <c r="Q276" s="16" t="s">
        <v>74</v>
      </c>
      <c r="R276" s="128" t="s">
        <v>80</v>
      </c>
    </row>
    <row r="277" spans="2:18">
      <c r="B277" s="503" t="s">
        <v>220</v>
      </c>
      <c r="C277" s="159" t="s">
        <v>223</v>
      </c>
      <c r="D277" s="113">
        <v>1740.0720421999999</v>
      </c>
      <c r="E277" s="67">
        <v>-802.05187999999998</v>
      </c>
      <c r="F277" s="114">
        <v>-797.24818000000005</v>
      </c>
      <c r="G277" s="163">
        <v>-0.146160000000123</v>
      </c>
      <c r="H277" s="67">
        <v>0.35642000000007101</v>
      </c>
      <c r="I277" s="114">
        <v>6.85846000000004</v>
      </c>
      <c r="K277" s="503" t="s">
        <v>220</v>
      </c>
      <c r="L277" s="159" t="s">
        <v>223</v>
      </c>
      <c r="M277" s="113">
        <v>1800</v>
      </c>
      <c r="N277" s="67">
        <v>-820</v>
      </c>
      <c r="O277" s="114">
        <v>-820</v>
      </c>
      <c r="P277" s="163">
        <v>0</v>
      </c>
      <c r="Q277" s="67">
        <v>0</v>
      </c>
      <c r="R277" s="114">
        <v>0</v>
      </c>
    </row>
    <row r="278" spans="2:18" ht="15" customHeight="1">
      <c r="B278" s="503"/>
      <c r="C278" s="165" t="s">
        <v>224</v>
      </c>
      <c r="D278" s="118">
        <v>9.7788901999999904</v>
      </c>
      <c r="E278" s="73">
        <v>1490.69568</v>
      </c>
      <c r="F278" s="119">
        <v>-1418.5628400000001</v>
      </c>
      <c r="G278" s="169">
        <v>-6.7750999999998403</v>
      </c>
      <c r="H278" s="73">
        <v>-1.2510600000000001</v>
      </c>
      <c r="I278" s="119">
        <v>2.7531799999998201</v>
      </c>
      <c r="K278" s="503"/>
      <c r="L278" s="165" t="s">
        <v>224</v>
      </c>
      <c r="M278" s="118">
        <v>0</v>
      </c>
      <c r="N278" s="73">
        <v>1500</v>
      </c>
      <c r="O278" s="119">
        <v>-1500</v>
      </c>
      <c r="P278" s="169">
        <v>0</v>
      </c>
      <c r="Q278" s="73">
        <v>0</v>
      </c>
      <c r="R278" s="119">
        <v>0</v>
      </c>
    </row>
    <row r="279" spans="2:18">
      <c r="B279" s="503"/>
      <c r="C279" s="165" t="s">
        <v>225</v>
      </c>
      <c r="D279" s="118">
        <v>-14.4201678</v>
      </c>
      <c r="E279" s="73">
        <v>-7.59600000009186E-3</v>
      </c>
      <c r="F279" s="119">
        <v>-9.79072000000005</v>
      </c>
      <c r="G279" s="169">
        <v>764.24662000000001</v>
      </c>
      <c r="H279" s="73">
        <v>719.47224000000006</v>
      </c>
      <c r="I279" s="119">
        <v>729.32231999999999</v>
      </c>
      <c r="K279" s="503"/>
      <c r="L279" s="165" t="s">
        <v>225</v>
      </c>
      <c r="M279" s="118">
        <v>0</v>
      </c>
      <c r="N279" s="73">
        <v>0</v>
      </c>
      <c r="O279" s="119">
        <v>0</v>
      </c>
      <c r="P279" s="169">
        <v>771.83216000000004</v>
      </c>
      <c r="Q279" s="73">
        <v>750</v>
      </c>
      <c r="R279" s="119">
        <v>700</v>
      </c>
    </row>
    <row r="280" spans="2:18">
      <c r="B280" s="503"/>
      <c r="C280" s="165" t="s">
        <v>228</v>
      </c>
      <c r="D280" s="118">
        <v>16.301298200000002</v>
      </c>
      <c r="E280" s="73">
        <v>168.10514000000001</v>
      </c>
      <c r="F280" s="119">
        <v>-147.97944000000001</v>
      </c>
      <c r="G280" s="169">
        <v>-2914.80764</v>
      </c>
      <c r="H280" s="73">
        <v>2418.3091199999999</v>
      </c>
      <c r="I280" s="119">
        <v>443.78858000000002</v>
      </c>
      <c r="K280" s="503"/>
      <c r="L280" s="165" t="s">
        <v>228</v>
      </c>
      <c r="M280" s="118">
        <v>0</v>
      </c>
      <c r="N280" s="73">
        <v>160</v>
      </c>
      <c r="O280" s="119">
        <v>-160</v>
      </c>
      <c r="P280" s="169">
        <v>-2950</v>
      </c>
      <c r="Q280" s="73">
        <v>2450</v>
      </c>
      <c r="R280" s="119">
        <v>450</v>
      </c>
    </row>
    <row r="281" spans="2:18">
      <c r="B281" s="503"/>
      <c r="C281" s="165" t="s">
        <v>226</v>
      </c>
      <c r="D281" s="118">
        <v>-178.77999579999999</v>
      </c>
      <c r="E281" s="73">
        <v>114.65276</v>
      </c>
      <c r="F281" s="119">
        <v>74.286704</v>
      </c>
      <c r="G281" s="169">
        <v>-1170.8870400000001</v>
      </c>
      <c r="H281" s="73">
        <v>-1894.6790800000001</v>
      </c>
      <c r="I281" s="119">
        <v>3049.3565199999998</v>
      </c>
      <c r="K281" s="503"/>
      <c r="L281" s="165" t="s">
        <v>226</v>
      </c>
      <c r="M281" s="118">
        <v>-200</v>
      </c>
      <c r="N281" s="73">
        <v>110</v>
      </c>
      <c r="O281" s="119">
        <v>70</v>
      </c>
      <c r="P281" s="169">
        <v>-1150</v>
      </c>
      <c r="Q281" s="73">
        <v>-2000</v>
      </c>
      <c r="R281" s="119">
        <v>3050</v>
      </c>
    </row>
    <row r="282" spans="2:18" ht="15.75" thickBot="1">
      <c r="B282" s="503"/>
      <c r="C282" s="171" t="s">
        <v>227</v>
      </c>
      <c r="D282" s="123">
        <v>3112.6098422</v>
      </c>
      <c r="E282" s="80">
        <v>3111.5768800000001</v>
      </c>
      <c r="F282" s="124">
        <v>3087.7761599999999</v>
      </c>
      <c r="G282" s="175">
        <v>-7.4836400000004897</v>
      </c>
      <c r="H282" s="80">
        <v>7.1526599999998597</v>
      </c>
      <c r="I282" s="124">
        <v>-9.5989000000003006</v>
      </c>
      <c r="K282" s="503"/>
      <c r="L282" s="171" t="s">
        <v>227</v>
      </c>
      <c r="M282" s="123">
        <v>3200</v>
      </c>
      <c r="N282" s="80">
        <v>3200</v>
      </c>
      <c r="O282" s="124">
        <v>3200</v>
      </c>
      <c r="P282" s="175">
        <v>0</v>
      </c>
      <c r="Q282" s="80">
        <v>0</v>
      </c>
      <c r="R282" s="124">
        <v>0</v>
      </c>
    </row>
    <row r="283" spans="2:18">
      <c r="C283" s="222"/>
      <c r="D283" s="220"/>
      <c r="E283" s="220"/>
      <c r="F283" s="220"/>
      <c r="G283" s="220"/>
      <c r="H283" s="220"/>
      <c r="I283" s="220"/>
      <c r="K283" s="1"/>
      <c r="L283" s="222"/>
      <c r="M283" s="220"/>
      <c r="N283" s="220"/>
      <c r="O283" s="220"/>
      <c r="P283" s="220"/>
      <c r="Q283" s="220"/>
      <c r="R283" s="220"/>
    </row>
    <row r="284" spans="2:18">
      <c r="C284" s="222"/>
      <c r="D284" s="502" t="s">
        <v>143</v>
      </c>
      <c r="E284" s="502"/>
      <c r="F284" s="502"/>
      <c r="G284" s="502"/>
      <c r="H284" s="502"/>
      <c r="I284" s="502"/>
      <c r="K284" s="1"/>
      <c r="L284" s="222"/>
      <c r="M284" s="502" t="s">
        <v>143</v>
      </c>
      <c r="N284" s="502"/>
      <c r="O284" s="502"/>
      <c r="P284" s="502"/>
      <c r="Q284" s="502"/>
      <c r="R284" s="502"/>
    </row>
    <row r="285" spans="2:18" ht="15.75" thickBot="1">
      <c r="C285" s="222"/>
      <c r="D285" s="237" t="s">
        <v>52</v>
      </c>
      <c r="E285" s="238" t="s">
        <v>58</v>
      </c>
      <c r="F285" s="239" t="s">
        <v>64</v>
      </c>
      <c r="G285" s="237" t="s">
        <v>70</v>
      </c>
      <c r="H285" s="238" t="s">
        <v>76</v>
      </c>
      <c r="I285" s="240" t="s">
        <v>82</v>
      </c>
      <c r="K285" s="1"/>
      <c r="L285" s="222"/>
      <c r="M285" s="237" t="s">
        <v>52</v>
      </c>
      <c r="N285" s="238" t="s">
        <v>58</v>
      </c>
      <c r="O285" s="239" t="s">
        <v>64</v>
      </c>
      <c r="P285" s="237" t="s">
        <v>70</v>
      </c>
      <c r="Q285" s="238" t="s">
        <v>76</v>
      </c>
      <c r="R285" s="240" t="s">
        <v>82</v>
      </c>
    </row>
    <row r="286" spans="2:18">
      <c r="B286" s="503" t="s">
        <v>220</v>
      </c>
      <c r="C286" s="159" t="s">
        <v>229</v>
      </c>
      <c r="D286" s="113">
        <v>667.89703999999995</v>
      </c>
      <c r="E286" s="67">
        <v>-1325.00476</v>
      </c>
      <c r="F286" s="114">
        <v>644.55483999999899</v>
      </c>
      <c r="G286" s="163">
        <v>-57.561607719999998</v>
      </c>
      <c r="H286" s="67">
        <v>-27.2385799999998</v>
      </c>
      <c r="I286" s="114">
        <v>7.0409600000000996</v>
      </c>
      <c r="K286" s="503" t="s">
        <v>220</v>
      </c>
      <c r="L286" s="159" t="s">
        <v>229</v>
      </c>
      <c r="M286" s="113">
        <v>700</v>
      </c>
      <c r="N286" s="67">
        <v>-1350</v>
      </c>
      <c r="O286" s="114">
        <v>650</v>
      </c>
      <c r="P286" s="163">
        <v>0</v>
      </c>
      <c r="Q286" s="67">
        <v>0</v>
      </c>
      <c r="R286" s="114">
        <v>0</v>
      </c>
    </row>
    <row r="287" spans="2:18" ht="15" customHeight="1">
      <c r="B287" s="503"/>
      <c r="C287" s="165" t="s">
        <v>230</v>
      </c>
      <c r="D287" s="118">
        <v>1178.9839199999999</v>
      </c>
      <c r="E287" s="73">
        <v>35.0598600000001</v>
      </c>
      <c r="F287" s="119">
        <v>-1150.2198800000001</v>
      </c>
      <c r="G287" s="169">
        <v>-19.584469819999999</v>
      </c>
      <c r="H287" s="73">
        <v>-41.745379999999599</v>
      </c>
      <c r="I287" s="119">
        <v>-31.359499999999802</v>
      </c>
      <c r="K287" s="503"/>
      <c r="L287" s="165" t="s">
        <v>230</v>
      </c>
      <c r="M287" s="118">
        <v>1200</v>
      </c>
      <c r="N287" s="73">
        <v>0</v>
      </c>
      <c r="O287" s="119">
        <v>-1150</v>
      </c>
      <c r="P287" s="169">
        <v>0</v>
      </c>
      <c r="Q287" s="73">
        <v>0</v>
      </c>
      <c r="R287" s="119">
        <v>0</v>
      </c>
    </row>
    <row r="288" spans="2:18">
      <c r="B288" s="503"/>
      <c r="C288" s="165" t="s">
        <v>231</v>
      </c>
      <c r="D288" s="118">
        <v>-6.0520799999999904</v>
      </c>
      <c r="E288" s="73">
        <v>28.370159999999899</v>
      </c>
      <c r="F288" s="119">
        <v>-1.9493399999999499</v>
      </c>
      <c r="G288" s="169">
        <v>1011.351974</v>
      </c>
      <c r="H288" s="73">
        <v>1055.0367799999999</v>
      </c>
      <c r="I288" s="119">
        <v>1010.62608</v>
      </c>
      <c r="K288" s="503"/>
      <c r="L288" s="165" t="s">
        <v>231</v>
      </c>
      <c r="M288" s="118">
        <v>0</v>
      </c>
      <c r="N288" s="73">
        <v>0</v>
      </c>
      <c r="O288" s="119">
        <v>0</v>
      </c>
      <c r="P288" s="169">
        <v>1100</v>
      </c>
      <c r="Q288" s="73">
        <v>1100</v>
      </c>
      <c r="R288" s="119">
        <v>1100</v>
      </c>
    </row>
    <row r="289" spans="1:18">
      <c r="B289" s="503"/>
      <c r="C289" s="165" t="s">
        <v>234</v>
      </c>
      <c r="D289" s="118">
        <v>-284.43079999999998</v>
      </c>
      <c r="E289" s="73">
        <v>11.724740000000001</v>
      </c>
      <c r="F289" s="119">
        <v>267.91327999999999</v>
      </c>
      <c r="G289" s="169">
        <v>-2478.605826</v>
      </c>
      <c r="H289" s="73">
        <v>2451.90978</v>
      </c>
      <c r="I289" s="119">
        <v>0.98400000000009402</v>
      </c>
      <c r="K289" s="503"/>
      <c r="L289" s="165" t="s">
        <v>234</v>
      </c>
      <c r="M289" s="118">
        <v>-300</v>
      </c>
      <c r="N289" s="73">
        <v>0</v>
      </c>
      <c r="O289" s="119">
        <v>300</v>
      </c>
      <c r="P289" s="169">
        <v>-2500</v>
      </c>
      <c r="Q289" s="73">
        <v>2500</v>
      </c>
      <c r="R289" s="119">
        <v>-50</v>
      </c>
    </row>
    <row r="290" spans="1:18">
      <c r="B290" s="503"/>
      <c r="C290" s="165" t="s">
        <v>232</v>
      </c>
      <c r="D290" s="118">
        <v>149.37414000000001</v>
      </c>
      <c r="E290" s="73">
        <v>-300.58866</v>
      </c>
      <c r="F290" s="119">
        <v>181.49307999999999</v>
      </c>
      <c r="G290" s="169">
        <v>-1618.723426</v>
      </c>
      <c r="H290" s="73">
        <v>-1417.5907</v>
      </c>
      <c r="I290" s="119">
        <v>2812.72784</v>
      </c>
      <c r="K290" s="503"/>
      <c r="L290" s="165" t="s">
        <v>232</v>
      </c>
      <c r="M290" s="118">
        <v>200</v>
      </c>
      <c r="N290" s="73">
        <v>-300</v>
      </c>
      <c r="O290" s="119">
        <v>200</v>
      </c>
      <c r="P290" s="169">
        <v>-1500</v>
      </c>
      <c r="Q290" s="73">
        <v>-1400</v>
      </c>
      <c r="R290" s="119">
        <v>3000</v>
      </c>
    </row>
    <row r="291" spans="1:18" ht="15.75" thickBot="1">
      <c r="B291" s="503"/>
      <c r="C291" s="171" t="s">
        <v>233</v>
      </c>
      <c r="D291" s="123">
        <v>1776.16076</v>
      </c>
      <c r="E291" s="80">
        <v>1796.9920400000001</v>
      </c>
      <c r="F291" s="124">
        <v>1744.94444</v>
      </c>
      <c r="G291" s="175">
        <v>-45.0563924</v>
      </c>
      <c r="H291" s="80">
        <v>-54.332059999999899</v>
      </c>
      <c r="I291" s="124">
        <v>-31.666819999999898</v>
      </c>
      <c r="K291" s="503"/>
      <c r="L291" s="171" t="s">
        <v>233</v>
      </c>
      <c r="M291" s="123">
        <v>1800</v>
      </c>
      <c r="N291" s="80">
        <v>1800</v>
      </c>
      <c r="O291" s="124">
        <v>1800</v>
      </c>
      <c r="P291" s="175">
        <v>40</v>
      </c>
      <c r="Q291" s="80">
        <v>40</v>
      </c>
      <c r="R291" s="124">
        <v>40</v>
      </c>
    </row>
    <row r="294" spans="1:18" ht="15.75" thickBot="1">
      <c r="A294" s="37" t="s">
        <v>465</v>
      </c>
    </row>
    <row r="295" spans="1:18" ht="15.75" thickBot="1">
      <c r="A295" s="105" t="s">
        <v>540</v>
      </c>
      <c r="B295" s="191" t="s">
        <v>236</v>
      </c>
      <c r="C295" s="404" t="s">
        <v>237</v>
      </c>
      <c r="D295" s="191" t="s">
        <v>238</v>
      </c>
      <c r="E295" s="404" t="s">
        <v>251</v>
      </c>
      <c r="H295" s="135" t="s">
        <v>126</v>
      </c>
      <c r="I295" s="455" t="s">
        <v>476</v>
      </c>
    </row>
    <row r="296" spans="1:18">
      <c r="A296" s="479"/>
      <c r="B296" s="192">
        <v>3</v>
      </c>
      <c r="C296" s="33">
        <v>610</v>
      </c>
      <c r="D296" s="410" t="s">
        <v>188</v>
      </c>
      <c r="E296" s="320">
        <f>B296*C296</f>
        <v>1830</v>
      </c>
      <c r="H296" s="135" t="s">
        <v>129</v>
      </c>
      <c r="I296" s="135" t="s">
        <v>478</v>
      </c>
    </row>
    <row r="297" spans="1:18">
      <c r="A297" s="478"/>
      <c r="B297" s="193">
        <v>2</v>
      </c>
      <c r="C297" s="36">
        <v>233</v>
      </c>
      <c r="D297" s="193" t="s">
        <v>188</v>
      </c>
      <c r="E297" s="321">
        <f t="shared" ref="E297:E304" si="9">B297*C297</f>
        <v>466</v>
      </c>
      <c r="H297" s="135" t="s">
        <v>132</v>
      </c>
      <c r="I297" s="135" t="s">
        <v>480</v>
      </c>
    </row>
    <row r="298" spans="1:18" s="135" customFormat="1">
      <c r="A298" s="321" t="s">
        <v>481</v>
      </c>
      <c r="B298" s="193">
        <v>2</v>
      </c>
      <c r="C298" s="36">
        <v>0.5</v>
      </c>
      <c r="D298" s="193" t="s">
        <v>188</v>
      </c>
      <c r="E298" s="321">
        <f t="shared" si="9"/>
        <v>1</v>
      </c>
    </row>
    <row r="299" spans="1:18">
      <c r="A299" s="321" t="s">
        <v>459</v>
      </c>
      <c r="B299" s="193">
        <v>9</v>
      </c>
      <c r="C299" s="36">
        <v>1.1000000000000001</v>
      </c>
      <c r="D299" s="346" t="s">
        <v>188</v>
      </c>
      <c r="E299" s="321">
        <f t="shared" si="9"/>
        <v>9.9</v>
      </c>
      <c r="H299" s="135" t="s">
        <v>450</v>
      </c>
      <c r="I299" s="135" t="s">
        <v>475</v>
      </c>
    </row>
    <row r="300" spans="1:18">
      <c r="A300" s="321" t="s">
        <v>460</v>
      </c>
      <c r="B300" s="193">
        <v>0</v>
      </c>
      <c r="C300" s="36">
        <v>2.2000000000000002</v>
      </c>
      <c r="D300" s="346" t="s">
        <v>188</v>
      </c>
      <c r="E300" s="321">
        <f t="shared" si="9"/>
        <v>0</v>
      </c>
    </row>
    <row r="301" spans="1:18">
      <c r="A301" s="321" t="s">
        <v>461</v>
      </c>
      <c r="B301" s="193">
        <v>3</v>
      </c>
      <c r="C301" s="36">
        <v>4.5</v>
      </c>
      <c r="D301" s="346" t="s">
        <v>188</v>
      </c>
      <c r="E301" s="321">
        <f t="shared" si="9"/>
        <v>13.5</v>
      </c>
    </row>
    <row r="302" spans="1:18">
      <c r="A302" s="321" t="s">
        <v>462</v>
      </c>
      <c r="B302" s="193">
        <v>5</v>
      </c>
      <c r="C302" s="36">
        <v>7.9</v>
      </c>
      <c r="D302" s="346" t="s">
        <v>188</v>
      </c>
      <c r="E302" s="321">
        <f t="shared" si="9"/>
        <v>39.5</v>
      </c>
    </row>
    <row r="303" spans="1:18" s="135" customFormat="1">
      <c r="A303" s="321" t="s">
        <v>463</v>
      </c>
      <c r="B303" s="193">
        <v>1</v>
      </c>
      <c r="C303" s="36">
        <v>15.6</v>
      </c>
      <c r="D303" s="346" t="s">
        <v>188</v>
      </c>
      <c r="E303" s="321">
        <f t="shared" si="9"/>
        <v>15.6</v>
      </c>
    </row>
    <row r="304" spans="1:18" s="135" customFormat="1" ht="15.75" thickBot="1">
      <c r="A304" s="322" t="s">
        <v>464</v>
      </c>
      <c r="B304" s="194">
        <v>8</v>
      </c>
      <c r="C304" s="53">
        <v>27.2</v>
      </c>
      <c r="D304" s="411" t="s">
        <v>188</v>
      </c>
      <c r="E304" s="322">
        <f t="shared" si="9"/>
        <v>217.6</v>
      </c>
    </row>
    <row r="305" spans="1:13" s="135" customFormat="1" ht="15.75" thickBot="1">
      <c r="A305" s="1"/>
      <c r="B305" s="403"/>
      <c r="C305" s="403"/>
      <c r="D305" s="403"/>
      <c r="E305" s="412">
        <f>SUM(E296:E304)</f>
        <v>2593.1</v>
      </c>
      <c r="H305" s="135">
        <f>(2612-E305)*100/2481</f>
        <v>0.76178960096735548</v>
      </c>
    </row>
    <row r="306" spans="1:13" s="135" customFormat="1">
      <c r="A306" s="1"/>
      <c r="B306" s="403"/>
      <c r="C306" s="403"/>
      <c r="D306" s="403"/>
      <c r="E306" s="177"/>
    </row>
    <row r="307" spans="1:13" s="135" customFormat="1">
      <c r="A307" s="1"/>
      <c r="B307" s="403"/>
      <c r="C307" s="403"/>
      <c r="D307" s="403"/>
      <c r="E307" s="177"/>
    </row>
    <row r="308" spans="1:13" ht="15.75" thickBot="1">
      <c r="B308" s="13"/>
      <c r="C308" s="13"/>
      <c r="D308" s="47"/>
      <c r="E308" s="177"/>
    </row>
    <row r="309" spans="1:13" ht="15.75" thickBot="1">
      <c r="B309" s="504" t="s">
        <v>44</v>
      </c>
      <c r="C309" s="504"/>
      <c r="D309" s="504"/>
      <c r="E309" s="504"/>
    </row>
    <row r="310" spans="1:13" ht="15.75" thickBot="1">
      <c r="B310" s="107" t="s">
        <v>236</v>
      </c>
      <c r="C310" s="59" t="s">
        <v>243</v>
      </c>
      <c r="D310" s="16" t="s">
        <v>244</v>
      </c>
      <c r="E310" s="16" t="s">
        <v>245</v>
      </c>
      <c r="G310" s="10"/>
      <c r="H310" s="329"/>
      <c r="I310" s="329"/>
      <c r="J310" s="329"/>
      <c r="K310" s="329"/>
      <c r="L310" s="10"/>
      <c r="M310" s="10"/>
    </row>
    <row r="311" spans="1:13">
      <c r="B311" s="46"/>
      <c r="C311" s="83">
        <f>C296*0.45359237</f>
        <v>276.6913457</v>
      </c>
      <c r="D311" s="65">
        <f t="shared" ref="D311:D316" si="10">E311/0.459</f>
        <v>0</v>
      </c>
      <c r="E311" s="306">
        <f t="shared" ref="E311:E316" si="11">B311*C311</f>
        <v>0</v>
      </c>
      <c r="G311" s="10"/>
      <c r="H311" s="330"/>
      <c r="I311" s="330"/>
      <c r="J311" s="75"/>
      <c r="K311" s="47"/>
      <c r="L311" s="10"/>
      <c r="M311" s="10"/>
    </row>
    <row r="312" spans="1:13">
      <c r="B312" s="51"/>
      <c r="C312" s="70">
        <f>C297*0.45359237</f>
        <v>105.68702221000001</v>
      </c>
      <c r="D312" s="71">
        <f t="shared" si="10"/>
        <v>0</v>
      </c>
      <c r="E312" s="307">
        <f t="shared" si="11"/>
        <v>0</v>
      </c>
      <c r="G312" s="10"/>
      <c r="H312" s="330"/>
      <c r="I312" s="330"/>
      <c r="J312" s="75"/>
      <c r="K312" s="330"/>
      <c r="L312" s="10"/>
      <c r="M312" s="10"/>
    </row>
    <row r="313" spans="1:13">
      <c r="B313" s="51"/>
      <c r="C313" s="70">
        <f>C299</f>
        <v>1.1000000000000001</v>
      </c>
      <c r="D313" s="71">
        <f t="shared" si="10"/>
        <v>0</v>
      </c>
      <c r="E313" s="307">
        <f t="shared" si="11"/>
        <v>0</v>
      </c>
      <c r="G313" s="10"/>
      <c r="H313" s="330"/>
      <c r="I313" s="75"/>
      <c r="J313" s="75"/>
      <c r="K313" s="330"/>
      <c r="L313" s="10"/>
      <c r="M313" s="10"/>
    </row>
    <row r="314" spans="1:13">
      <c r="B314" s="36"/>
      <c r="C314" s="51">
        <v>7.8</v>
      </c>
      <c r="D314" s="71">
        <f t="shared" si="10"/>
        <v>0</v>
      </c>
      <c r="E314" s="307">
        <f t="shared" si="11"/>
        <v>0</v>
      </c>
      <c r="G314" s="10"/>
      <c r="H314" s="330"/>
      <c r="I314" s="75"/>
      <c r="J314" s="75"/>
      <c r="K314" s="330"/>
      <c r="L314" s="10"/>
      <c r="M314" s="10"/>
    </row>
    <row r="315" spans="1:13">
      <c r="B315" s="36"/>
      <c r="C315" s="51">
        <v>4.5</v>
      </c>
      <c r="D315" s="71">
        <f t="shared" si="10"/>
        <v>0</v>
      </c>
      <c r="E315" s="307">
        <f t="shared" si="11"/>
        <v>0</v>
      </c>
      <c r="G315" s="10"/>
      <c r="H315" s="330"/>
      <c r="I315" s="75"/>
      <c r="J315" s="75"/>
      <c r="K315" s="330"/>
      <c r="L315" s="10"/>
      <c r="M315" s="10"/>
    </row>
    <row r="316" spans="1:13" ht="15.75" thickBot="1">
      <c r="B316" s="241"/>
      <c r="C316" s="133">
        <v>2.1</v>
      </c>
      <c r="D316" s="78">
        <f t="shared" si="10"/>
        <v>0</v>
      </c>
      <c r="E316" s="308">
        <f t="shared" si="11"/>
        <v>0</v>
      </c>
      <c r="G316" s="10"/>
      <c r="H316" s="330"/>
      <c r="I316" s="326"/>
      <c r="J316" s="75"/>
      <c r="K316" s="330"/>
      <c r="L316" s="10"/>
      <c r="M316" s="10"/>
    </row>
    <row r="317" spans="1:13" ht="15.75" thickBot="1">
      <c r="B317" s="501" t="s">
        <v>246</v>
      </c>
      <c r="C317" s="501"/>
      <c r="D317" s="363">
        <f>SUM(D311:D316)</f>
        <v>0</v>
      </c>
      <c r="E317" s="242">
        <f>SUM(E311:E316)</f>
        <v>0</v>
      </c>
      <c r="G317" s="10"/>
      <c r="H317" s="330"/>
      <c r="I317" s="330"/>
      <c r="J317" s="75"/>
      <c r="K317" s="47"/>
      <c r="L317" s="10"/>
      <c r="M317" s="10"/>
    </row>
    <row r="319" spans="1:13">
      <c r="E319" s="244"/>
    </row>
    <row r="320" spans="1:13">
      <c r="A320" s="37" t="s">
        <v>43</v>
      </c>
    </row>
    <row r="321" spans="1:9">
      <c r="A321" s="37" t="s">
        <v>466</v>
      </c>
      <c r="F321" s="135">
        <f>28.9/0.45</f>
        <v>64.222222222222214</v>
      </c>
    </row>
    <row r="323" spans="1:9">
      <c r="A323" s="1" t="s">
        <v>247</v>
      </c>
      <c r="B323" s="1">
        <v>12</v>
      </c>
      <c r="C323" s="2" t="s">
        <v>188</v>
      </c>
    </row>
    <row r="324" spans="1:9" s="135" customFormat="1">
      <c r="A324" s="1" t="s">
        <v>482</v>
      </c>
      <c r="B324" s="1">
        <v>15</v>
      </c>
      <c r="C324" s="177" t="s">
        <v>188</v>
      </c>
    </row>
    <row r="325" spans="1:9">
      <c r="A325" s="1" t="s">
        <v>248</v>
      </c>
      <c r="B325" s="1">
        <v>10</v>
      </c>
      <c r="C325" s="2" t="s">
        <v>188</v>
      </c>
    </row>
    <row r="326" spans="1:9">
      <c r="A326" s="1" t="s">
        <v>249</v>
      </c>
      <c r="B326" s="1">
        <v>10</v>
      </c>
      <c r="C326" s="2" t="s">
        <v>188</v>
      </c>
    </row>
    <row r="327" spans="1:9">
      <c r="H327" s="135" t="s">
        <v>126</v>
      </c>
      <c r="I327" s="135" t="s">
        <v>474</v>
      </c>
    </row>
    <row r="328" spans="1:9">
      <c r="A328" s="502"/>
      <c r="B328" s="502"/>
      <c r="C328" s="502"/>
      <c r="D328" s="10"/>
      <c r="E328" s="502"/>
      <c r="F328" s="502"/>
      <c r="G328" s="245"/>
      <c r="H328" s="135" t="s">
        <v>129</v>
      </c>
      <c r="I328" s="135" t="s">
        <v>477</v>
      </c>
    </row>
    <row r="329" spans="1:9" ht="15.75" thickBot="1">
      <c r="A329" s="453"/>
      <c r="B329" s="453"/>
      <c r="C329" s="453"/>
      <c r="D329" s="10"/>
      <c r="E329" s="453"/>
      <c r="F329" s="453"/>
      <c r="H329" s="135" t="s">
        <v>132</v>
      </c>
      <c r="I329" s="455" t="s">
        <v>479</v>
      </c>
    </row>
    <row r="330" spans="1:9" ht="15.75" thickBot="1">
      <c r="A330" s="504" t="s">
        <v>43</v>
      </c>
      <c r="B330" s="504"/>
      <c r="C330" s="326"/>
      <c r="D330" s="10"/>
      <c r="E330" s="452"/>
      <c r="F330" s="326"/>
    </row>
    <row r="331" spans="1:9" ht="15.75" thickBot="1">
      <c r="A331" s="107" t="s">
        <v>250</v>
      </c>
      <c r="B331" s="402" t="s">
        <v>251</v>
      </c>
      <c r="C331" s="326"/>
      <c r="D331" s="10"/>
      <c r="E331" s="452"/>
      <c r="F331" s="326"/>
    </row>
    <row r="332" spans="1:9">
      <c r="A332" s="408" t="s">
        <v>126</v>
      </c>
      <c r="B332" s="63">
        <f>2*15+15+5</f>
        <v>50</v>
      </c>
      <c r="C332" s="326"/>
      <c r="D332" s="10"/>
      <c r="E332" s="452"/>
      <c r="F332" s="326"/>
    </row>
    <row r="333" spans="1:9">
      <c r="A333" s="409" t="s">
        <v>129</v>
      </c>
      <c r="B333" s="69">
        <f>2*15+15+5+3+2*0.5+1</f>
        <v>55</v>
      </c>
      <c r="C333" s="326"/>
      <c r="D333" s="10"/>
      <c r="E333" s="452"/>
      <c r="F333" s="326"/>
    </row>
    <row r="334" spans="1:9" ht="15.75" thickBot="1">
      <c r="A334" s="409" t="s">
        <v>132</v>
      </c>
      <c r="B334" s="69">
        <f>2*15+2+2*1</f>
        <v>34</v>
      </c>
      <c r="C334" s="326"/>
      <c r="D334" s="10"/>
      <c r="E334" s="452"/>
      <c r="F334" s="326"/>
    </row>
    <row r="335" spans="1:9" ht="15.75" thickBot="1">
      <c r="A335" s="107" t="s">
        <v>258</v>
      </c>
      <c r="B335" s="246">
        <f>SUM(B332:B334)</f>
        <v>139</v>
      </c>
      <c r="C335" s="326"/>
      <c r="D335" s="10"/>
      <c r="E335" s="452"/>
      <c r="F335" s="326"/>
    </row>
    <row r="336" spans="1:9">
      <c r="A336" s="453"/>
      <c r="B336" s="452"/>
      <c r="C336" s="326"/>
      <c r="D336" s="10"/>
      <c r="E336" s="453"/>
      <c r="F336" s="326"/>
    </row>
    <row r="337" spans="1:9">
      <c r="A337" s="87"/>
      <c r="B337" s="87"/>
      <c r="C337" s="452"/>
      <c r="D337" s="10"/>
      <c r="E337" s="10"/>
      <c r="F337" s="10"/>
    </row>
    <row r="339" spans="1:9">
      <c r="H339" s="403"/>
      <c r="I339" s="326"/>
    </row>
    <row r="340" spans="1:9">
      <c r="A340" s="1" t="s">
        <v>259</v>
      </c>
      <c r="B340" s="1">
        <v>0.28899999999999998</v>
      </c>
      <c r="C340" s="2" t="s">
        <v>260</v>
      </c>
      <c r="H340" s="403"/>
      <c r="I340" s="326"/>
    </row>
    <row r="341" spans="1:9">
      <c r="A341" s="1" t="s">
        <v>261</v>
      </c>
    </row>
    <row r="342" spans="1:9">
      <c r="A342" s="1" t="s">
        <v>262</v>
      </c>
      <c r="B342" s="1" t="s">
        <v>263</v>
      </c>
    </row>
    <row r="343" spans="1:9">
      <c r="A343" s="1">
        <v>0.80600000000000005</v>
      </c>
      <c r="B343" s="178">
        <f>A343*$A$353</f>
        <v>5.5972222222222223</v>
      </c>
    </row>
    <row r="344" spans="1:9">
      <c r="A344" s="1">
        <v>0.76</v>
      </c>
      <c r="B344" s="178">
        <f>A344*$A$353</f>
        <v>5.2777777777777777</v>
      </c>
    </row>
    <row r="345" spans="1:9">
      <c r="A345" s="1">
        <v>0.23200000000000001</v>
      </c>
      <c r="B345" s="178">
        <f>A345*$A$353</f>
        <v>1.6111111111111112</v>
      </c>
      <c r="F345" s="135" t="s">
        <v>251</v>
      </c>
    </row>
    <row r="346" spans="1:9">
      <c r="C346" s="135" t="s">
        <v>251</v>
      </c>
      <c r="E346" s="135" t="s">
        <v>458</v>
      </c>
      <c r="F346">
        <v>0.6</v>
      </c>
    </row>
    <row r="347" spans="1:9">
      <c r="A347" s="1" t="s">
        <v>264</v>
      </c>
      <c r="B347" s="1">
        <v>0.5</v>
      </c>
      <c r="C347" s="2">
        <v>3</v>
      </c>
      <c r="E347" s="135" t="s">
        <v>452</v>
      </c>
      <c r="F347">
        <v>1.1000000000000001</v>
      </c>
    </row>
    <row r="348" spans="1:9">
      <c r="A348" s="1" t="s">
        <v>265</v>
      </c>
      <c r="B348" s="1">
        <v>0.14000000000000001</v>
      </c>
      <c r="C348" s="2">
        <v>1</v>
      </c>
      <c r="E348" s="135" t="s">
        <v>453</v>
      </c>
      <c r="F348">
        <v>2.2000000000000002</v>
      </c>
    </row>
    <row r="349" spans="1:9">
      <c r="A349" s="1" t="s">
        <v>266</v>
      </c>
      <c r="B349" s="1">
        <v>0.28000000000000003</v>
      </c>
      <c r="C349" s="2">
        <v>2</v>
      </c>
      <c r="E349" s="135" t="s">
        <v>454</v>
      </c>
      <c r="F349">
        <v>4.5</v>
      </c>
    </row>
    <row r="350" spans="1:9">
      <c r="A350" s="1" t="s">
        <v>267</v>
      </c>
      <c r="B350" s="1">
        <v>0.72</v>
      </c>
      <c r="C350" s="2">
        <v>5</v>
      </c>
      <c r="E350" s="135" t="s">
        <v>455</v>
      </c>
      <c r="F350">
        <v>7.9</v>
      </c>
    </row>
    <row r="351" spans="1:9">
      <c r="A351" s="1" t="s">
        <v>268</v>
      </c>
      <c r="B351" s="1">
        <v>7.0000000000000007E-2</v>
      </c>
      <c r="C351" s="2">
        <v>0.5</v>
      </c>
      <c r="E351" s="135" t="s">
        <v>456</v>
      </c>
      <c r="F351">
        <v>15.6</v>
      </c>
    </row>
    <row r="352" spans="1:9">
      <c r="A352" s="135" t="s">
        <v>451</v>
      </c>
      <c r="E352" s="135" t="s">
        <v>457</v>
      </c>
      <c r="F352">
        <v>27.2</v>
      </c>
    </row>
    <row r="353" spans="1:10">
      <c r="A353" s="1">
        <f>C350/B350</f>
        <v>6.9444444444444446</v>
      </c>
    </row>
    <row r="354" spans="1:10" ht="15.75" thickBot="1"/>
    <row r="355" spans="1:10" ht="16.5" thickBot="1">
      <c r="A355" s="488" t="s">
        <v>419</v>
      </c>
      <c r="B355" s="396" t="s">
        <v>420</v>
      </c>
      <c r="C355" s="492" t="s">
        <v>421</v>
      </c>
      <c r="D355" s="481" t="s">
        <v>118</v>
      </c>
      <c r="E355" s="488" t="s">
        <v>250</v>
      </c>
      <c r="F355" s="482"/>
      <c r="G355" s="483"/>
      <c r="H355" s="482"/>
    </row>
    <row r="356" spans="1:10">
      <c r="A356" s="498" t="s">
        <v>430</v>
      </c>
      <c r="B356" s="400" t="s">
        <v>431</v>
      </c>
      <c r="C356" s="493">
        <v>48</v>
      </c>
      <c r="D356" s="398" t="s">
        <v>504</v>
      </c>
      <c r="E356" s="489" t="s">
        <v>541</v>
      </c>
      <c r="F356" s="484"/>
      <c r="G356" s="485"/>
      <c r="H356" s="486"/>
      <c r="I356" s="466"/>
      <c r="J356" s="467"/>
    </row>
    <row r="357" spans="1:10">
      <c r="A357" s="498" t="s">
        <v>430</v>
      </c>
      <c r="B357" s="400" t="s">
        <v>431</v>
      </c>
      <c r="C357" s="493">
        <v>48</v>
      </c>
      <c r="D357" s="398" t="s">
        <v>505</v>
      </c>
      <c r="E357" s="489" t="s">
        <v>542</v>
      </c>
      <c r="F357" s="484"/>
      <c r="G357" s="485"/>
      <c r="H357" s="486"/>
      <c r="I357" s="466"/>
      <c r="J357" s="467"/>
    </row>
    <row r="358" spans="1:10">
      <c r="A358" s="498" t="s">
        <v>430</v>
      </c>
      <c r="B358" s="400" t="s">
        <v>431</v>
      </c>
      <c r="C358" s="494">
        <v>48</v>
      </c>
      <c r="D358" s="398" t="s">
        <v>506</v>
      </c>
      <c r="E358" s="489" t="s">
        <v>543</v>
      </c>
      <c r="F358" s="484"/>
      <c r="G358" s="485"/>
      <c r="H358" s="486"/>
      <c r="I358" s="466"/>
      <c r="J358" s="467"/>
    </row>
    <row r="359" spans="1:10">
      <c r="A359" s="498" t="s">
        <v>432</v>
      </c>
      <c r="B359" s="400" t="s">
        <v>431</v>
      </c>
      <c r="C359" s="495">
        <v>120</v>
      </c>
      <c r="D359" s="398" t="s">
        <v>507</v>
      </c>
      <c r="E359" s="489" t="s">
        <v>544</v>
      </c>
      <c r="F359" s="484"/>
      <c r="G359" s="485"/>
      <c r="H359" s="486"/>
      <c r="I359" s="466"/>
      <c r="J359" s="467"/>
    </row>
    <row r="360" spans="1:10">
      <c r="A360" s="498" t="s">
        <v>432</v>
      </c>
      <c r="B360" s="400" t="s">
        <v>431</v>
      </c>
      <c r="C360" s="495">
        <v>120</v>
      </c>
      <c r="D360" s="398" t="s">
        <v>508</v>
      </c>
      <c r="E360" s="489" t="s">
        <v>545</v>
      </c>
      <c r="F360" s="484"/>
      <c r="G360" s="485"/>
      <c r="H360" s="486"/>
      <c r="I360" s="466"/>
      <c r="J360" s="467"/>
    </row>
    <row r="361" spans="1:10">
      <c r="A361" s="498" t="s">
        <v>432</v>
      </c>
      <c r="B361" s="400" t="s">
        <v>431</v>
      </c>
      <c r="C361" s="495">
        <v>120</v>
      </c>
      <c r="D361" s="398" t="s">
        <v>509</v>
      </c>
      <c r="E361" s="489" t="s">
        <v>546</v>
      </c>
      <c r="F361" s="484"/>
      <c r="G361" s="485"/>
      <c r="H361" s="486"/>
      <c r="I361" s="466"/>
      <c r="J361" s="467"/>
    </row>
    <row r="362" spans="1:10">
      <c r="A362" s="499" t="s">
        <v>422</v>
      </c>
      <c r="B362" s="397" t="s">
        <v>423</v>
      </c>
      <c r="C362" s="491">
        <v>80</v>
      </c>
      <c r="D362" s="398" t="s">
        <v>510</v>
      </c>
      <c r="E362" s="489" t="s">
        <v>547</v>
      </c>
      <c r="F362" s="486"/>
      <c r="G362" s="485"/>
      <c r="H362" s="486"/>
      <c r="I362" s="468"/>
      <c r="J362" s="467"/>
    </row>
    <row r="363" spans="1:10">
      <c r="A363" s="499" t="s">
        <v>422</v>
      </c>
      <c r="B363" s="397" t="s">
        <v>423</v>
      </c>
      <c r="C363" s="491">
        <v>80</v>
      </c>
      <c r="D363" s="398" t="s">
        <v>511</v>
      </c>
      <c r="E363" s="489" t="s">
        <v>548</v>
      </c>
      <c r="F363" s="486"/>
      <c r="G363" s="485"/>
      <c r="H363" s="486"/>
      <c r="I363" s="468"/>
      <c r="J363" s="467"/>
    </row>
    <row r="364" spans="1:10">
      <c r="A364" s="499" t="s">
        <v>422</v>
      </c>
      <c r="B364" s="397" t="s">
        <v>423</v>
      </c>
      <c r="C364" s="491">
        <v>80</v>
      </c>
      <c r="D364" s="398" t="s">
        <v>512</v>
      </c>
      <c r="E364" s="489" t="s">
        <v>549</v>
      </c>
      <c r="F364" s="486"/>
      <c r="G364" s="485"/>
      <c r="H364" s="486"/>
      <c r="I364" s="468"/>
      <c r="J364" s="467"/>
    </row>
    <row r="365" spans="1:10">
      <c r="A365" s="499" t="s">
        <v>422</v>
      </c>
      <c r="B365" s="397" t="s">
        <v>423</v>
      </c>
      <c r="C365" s="491">
        <v>80</v>
      </c>
      <c r="D365" s="398" t="s">
        <v>513</v>
      </c>
      <c r="E365" s="489" t="s">
        <v>550</v>
      </c>
      <c r="F365" s="486"/>
      <c r="G365" s="485"/>
      <c r="H365" s="486"/>
      <c r="I365" s="468"/>
      <c r="J365" s="467"/>
    </row>
    <row r="366" spans="1:10">
      <c r="A366" s="499" t="s">
        <v>422</v>
      </c>
      <c r="B366" s="397" t="s">
        <v>423</v>
      </c>
      <c r="C366" s="491">
        <v>80</v>
      </c>
      <c r="D366" s="398" t="s">
        <v>514</v>
      </c>
      <c r="E366" s="489" t="s">
        <v>551</v>
      </c>
      <c r="F366" s="486"/>
      <c r="G366" s="485"/>
      <c r="H366" s="486"/>
      <c r="I366" s="468"/>
      <c r="J366" s="467"/>
    </row>
    <row r="367" spans="1:10">
      <c r="A367" s="499" t="s">
        <v>422</v>
      </c>
      <c r="B367" s="397" t="s">
        <v>423</v>
      </c>
      <c r="C367" s="491">
        <v>80</v>
      </c>
      <c r="D367" s="398" t="s">
        <v>515</v>
      </c>
      <c r="E367" s="489" t="s">
        <v>552</v>
      </c>
      <c r="F367" s="486"/>
      <c r="G367" s="485"/>
      <c r="H367" s="486"/>
      <c r="I367" s="468"/>
      <c r="J367" s="467"/>
    </row>
    <row r="368" spans="1:10">
      <c r="A368" s="499" t="s">
        <v>422</v>
      </c>
      <c r="B368" s="397" t="s">
        <v>423</v>
      </c>
      <c r="C368" s="491">
        <v>80</v>
      </c>
      <c r="D368" s="398" t="s">
        <v>516</v>
      </c>
      <c r="E368" s="489" t="s">
        <v>553</v>
      </c>
      <c r="F368" s="486"/>
      <c r="G368" s="485"/>
      <c r="H368" s="486"/>
      <c r="I368" s="468"/>
      <c r="J368" s="467"/>
    </row>
    <row r="369" spans="1:10">
      <c r="A369" s="499" t="s">
        <v>422</v>
      </c>
      <c r="B369" s="397" t="s">
        <v>423</v>
      </c>
      <c r="C369" s="491">
        <v>80</v>
      </c>
      <c r="D369" s="398" t="s">
        <v>517</v>
      </c>
      <c r="E369" s="489" t="s">
        <v>554</v>
      </c>
      <c r="F369" s="486"/>
      <c r="G369" s="485"/>
      <c r="H369" s="486"/>
      <c r="I369" s="468"/>
      <c r="J369" s="467"/>
    </row>
    <row r="370" spans="1:10">
      <c r="A370" s="499" t="s">
        <v>422</v>
      </c>
      <c r="B370" s="397" t="s">
        <v>423</v>
      </c>
      <c r="C370" s="491">
        <v>80</v>
      </c>
      <c r="D370" s="398" t="s">
        <v>518</v>
      </c>
      <c r="E370" s="489" t="s">
        <v>555</v>
      </c>
      <c r="F370" s="486"/>
      <c r="G370" s="485"/>
      <c r="H370" s="486"/>
      <c r="I370" s="468"/>
      <c r="J370" s="467"/>
    </row>
    <row r="371" spans="1:10">
      <c r="A371" s="499" t="s">
        <v>422</v>
      </c>
      <c r="B371" s="397" t="s">
        <v>423</v>
      </c>
      <c r="C371" s="491">
        <v>80</v>
      </c>
      <c r="D371" s="398" t="s">
        <v>519</v>
      </c>
      <c r="E371" s="489" t="s">
        <v>556</v>
      </c>
      <c r="F371" s="486"/>
      <c r="G371" s="485"/>
      <c r="H371" s="486"/>
      <c r="I371" s="468"/>
      <c r="J371" s="467"/>
    </row>
    <row r="372" spans="1:10">
      <c r="A372" s="499" t="s">
        <v>422</v>
      </c>
      <c r="B372" s="397" t="s">
        <v>423</v>
      </c>
      <c r="C372" s="491">
        <v>80</v>
      </c>
      <c r="D372" s="398" t="s">
        <v>520</v>
      </c>
      <c r="E372" s="489" t="s">
        <v>557</v>
      </c>
      <c r="F372" s="486"/>
      <c r="G372" s="485"/>
      <c r="H372" s="486"/>
      <c r="I372" s="468"/>
      <c r="J372" s="467"/>
    </row>
    <row r="373" spans="1:10">
      <c r="A373" s="498" t="s">
        <v>424</v>
      </c>
      <c r="B373" s="399" t="s">
        <v>425</v>
      </c>
      <c r="C373" s="495">
        <v>40</v>
      </c>
      <c r="D373" s="398" t="s">
        <v>521</v>
      </c>
      <c r="E373" s="489" t="s">
        <v>558</v>
      </c>
      <c r="F373" s="484"/>
      <c r="G373" s="485"/>
      <c r="H373" s="486"/>
      <c r="I373" s="466"/>
      <c r="J373" s="467"/>
    </row>
    <row r="374" spans="1:10">
      <c r="A374" s="498" t="s">
        <v>424</v>
      </c>
      <c r="B374" s="399" t="s">
        <v>425</v>
      </c>
      <c r="C374" s="495">
        <v>40</v>
      </c>
      <c r="D374" s="398" t="s">
        <v>522</v>
      </c>
      <c r="E374" s="489" t="s">
        <v>74</v>
      </c>
      <c r="F374" s="484"/>
      <c r="G374" s="485"/>
      <c r="H374" s="486"/>
      <c r="I374" s="466"/>
      <c r="J374" s="467"/>
    </row>
    <row r="375" spans="1:10">
      <c r="A375" s="498" t="s">
        <v>424</v>
      </c>
      <c r="B375" s="399" t="s">
        <v>425</v>
      </c>
      <c r="C375" s="495">
        <v>40</v>
      </c>
      <c r="D375" s="398" t="s">
        <v>523</v>
      </c>
      <c r="E375" s="489" t="s">
        <v>62</v>
      </c>
      <c r="F375" s="484"/>
      <c r="G375" s="485"/>
      <c r="H375" s="486"/>
      <c r="I375" s="466"/>
      <c r="J375" s="467"/>
    </row>
    <row r="376" spans="1:10">
      <c r="A376" s="498" t="s">
        <v>424</v>
      </c>
      <c r="B376" s="399" t="s">
        <v>425</v>
      </c>
      <c r="C376" s="495">
        <v>40</v>
      </c>
      <c r="D376" s="398" t="s">
        <v>524</v>
      </c>
      <c r="E376" s="489" t="s">
        <v>550</v>
      </c>
      <c r="F376" s="484"/>
      <c r="G376" s="485"/>
      <c r="H376" s="486"/>
      <c r="I376" s="466"/>
      <c r="J376" s="467"/>
    </row>
    <row r="377" spans="1:10">
      <c r="A377" s="498" t="s">
        <v>424</v>
      </c>
      <c r="B377" s="399" t="s">
        <v>425</v>
      </c>
      <c r="C377" s="495">
        <v>40</v>
      </c>
      <c r="D377" s="398" t="s">
        <v>559</v>
      </c>
      <c r="E377" s="489" t="s">
        <v>80</v>
      </c>
      <c r="F377" s="484"/>
      <c r="G377" s="485"/>
      <c r="H377" s="486"/>
      <c r="I377" s="466"/>
      <c r="J377" s="467"/>
    </row>
    <row r="378" spans="1:10">
      <c r="A378" s="498" t="s">
        <v>424</v>
      </c>
      <c r="B378" s="399" t="s">
        <v>425</v>
      </c>
      <c r="C378" s="495">
        <v>40</v>
      </c>
      <c r="D378" s="398" t="s">
        <v>525</v>
      </c>
      <c r="E378" s="489" t="s">
        <v>68</v>
      </c>
      <c r="F378" s="484"/>
      <c r="G378" s="485"/>
      <c r="H378" s="486"/>
      <c r="I378" s="466"/>
      <c r="J378" s="467"/>
    </row>
    <row r="379" spans="1:10">
      <c r="A379" s="498" t="s">
        <v>426</v>
      </c>
      <c r="B379" s="399" t="s">
        <v>425</v>
      </c>
      <c r="C379" s="496">
        <v>60</v>
      </c>
      <c r="D379" s="398" t="s">
        <v>526</v>
      </c>
      <c r="E379" s="489" t="s">
        <v>76</v>
      </c>
      <c r="F379" s="484"/>
      <c r="G379" s="485"/>
      <c r="H379" s="486"/>
      <c r="I379" s="468"/>
      <c r="J379" s="467"/>
    </row>
    <row r="380" spans="1:10">
      <c r="A380" s="498" t="s">
        <v>426</v>
      </c>
      <c r="B380" s="399" t="s">
        <v>425</v>
      </c>
      <c r="C380" s="496">
        <v>60</v>
      </c>
      <c r="D380" s="398" t="s">
        <v>527</v>
      </c>
      <c r="E380" s="489" t="s">
        <v>58</v>
      </c>
      <c r="F380" s="484"/>
      <c r="G380" s="485"/>
      <c r="H380" s="486"/>
      <c r="I380" s="468"/>
      <c r="J380" s="467"/>
    </row>
    <row r="381" spans="1:10">
      <c r="A381" s="498" t="s">
        <v>426</v>
      </c>
      <c r="B381" s="399" t="s">
        <v>425</v>
      </c>
      <c r="C381" s="496">
        <v>60</v>
      </c>
      <c r="D381" s="398" t="s">
        <v>528</v>
      </c>
      <c r="E381" s="489" t="s">
        <v>82</v>
      </c>
      <c r="F381" s="484"/>
      <c r="G381" s="485"/>
      <c r="H381" s="486"/>
      <c r="I381" s="468"/>
      <c r="J381" s="467"/>
    </row>
    <row r="382" spans="1:10">
      <c r="A382" s="498" t="s">
        <v>426</v>
      </c>
      <c r="B382" s="399" t="s">
        <v>425</v>
      </c>
      <c r="C382" s="496">
        <v>60</v>
      </c>
      <c r="D382" s="398" t="s">
        <v>529</v>
      </c>
      <c r="E382" s="489" t="s">
        <v>70</v>
      </c>
      <c r="F382" s="484"/>
      <c r="G382" s="485"/>
      <c r="H382" s="486"/>
      <c r="I382" s="468"/>
      <c r="J382" s="467"/>
    </row>
    <row r="383" spans="1:10">
      <c r="A383" s="498" t="s">
        <v>426</v>
      </c>
      <c r="B383" s="399" t="s">
        <v>425</v>
      </c>
      <c r="C383" s="496">
        <v>60</v>
      </c>
      <c r="D383" s="398" t="s">
        <v>530</v>
      </c>
      <c r="E383" s="489" t="s">
        <v>52</v>
      </c>
      <c r="F383" s="484"/>
      <c r="G383" s="485"/>
      <c r="H383" s="486"/>
      <c r="I383" s="468"/>
      <c r="J383" s="467"/>
    </row>
    <row r="384" spans="1:10">
      <c r="A384" s="498" t="s">
        <v>427</v>
      </c>
      <c r="B384" s="400" t="s">
        <v>428</v>
      </c>
      <c r="C384" s="495">
        <v>110</v>
      </c>
      <c r="D384" s="398" t="s">
        <v>560</v>
      </c>
      <c r="E384" s="489" t="s">
        <v>561</v>
      </c>
      <c r="F384" s="484"/>
      <c r="G384" s="485"/>
      <c r="H384" s="486"/>
      <c r="I384" s="466"/>
      <c r="J384" s="467"/>
    </row>
    <row r="385" spans="1:10">
      <c r="A385" s="498" t="s">
        <v>427</v>
      </c>
      <c r="B385" s="400" t="s">
        <v>428</v>
      </c>
      <c r="C385" s="495">
        <v>110</v>
      </c>
      <c r="D385" s="398" t="s">
        <v>562</v>
      </c>
      <c r="E385" s="489" t="s">
        <v>563</v>
      </c>
      <c r="F385" s="484"/>
      <c r="G385" s="485"/>
      <c r="H385" s="486"/>
      <c r="I385" s="466"/>
      <c r="J385" s="467"/>
    </row>
    <row r="386" spans="1:10">
      <c r="A386" s="498" t="s">
        <v>427</v>
      </c>
      <c r="B386" s="400" t="s">
        <v>428</v>
      </c>
      <c r="C386" s="495">
        <v>110</v>
      </c>
      <c r="D386" s="398" t="s">
        <v>564</v>
      </c>
      <c r="E386" s="489" t="s">
        <v>565</v>
      </c>
      <c r="F386" s="484"/>
      <c r="G386" s="485"/>
      <c r="H386" s="486"/>
      <c r="I386" s="466"/>
      <c r="J386" s="467"/>
    </row>
    <row r="387" spans="1:10">
      <c r="A387" s="498" t="s">
        <v>429</v>
      </c>
      <c r="B387" s="400" t="s">
        <v>428</v>
      </c>
      <c r="C387" s="495">
        <v>80</v>
      </c>
      <c r="D387" s="398" t="s">
        <v>531</v>
      </c>
      <c r="E387" s="489" t="s">
        <v>566</v>
      </c>
      <c r="F387" s="484"/>
      <c r="G387" s="485"/>
      <c r="H387" s="486"/>
      <c r="I387" s="466"/>
      <c r="J387" s="467"/>
    </row>
    <row r="388" spans="1:10">
      <c r="A388" s="498" t="s">
        <v>429</v>
      </c>
      <c r="B388" s="400" t="s">
        <v>428</v>
      </c>
      <c r="C388" s="495">
        <v>80</v>
      </c>
      <c r="D388" s="398" t="s">
        <v>532</v>
      </c>
      <c r="E388" s="489" t="s">
        <v>567</v>
      </c>
      <c r="F388" s="484"/>
      <c r="G388" s="485"/>
      <c r="H388" s="486"/>
      <c r="I388" s="466"/>
      <c r="J388" s="467"/>
    </row>
    <row r="389" spans="1:10">
      <c r="A389" s="498" t="s">
        <v>429</v>
      </c>
      <c r="B389" s="400" t="s">
        <v>428</v>
      </c>
      <c r="C389" s="495">
        <v>80</v>
      </c>
      <c r="D389" s="398" t="s">
        <v>533</v>
      </c>
      <c r="E389" s="489" t="s">
        <v>543</v>
      </c>
      <c r="F389" s="484"/>
      <c r="G389" s="485"/>
      <c r="H389" s="486"/>
      <c r="I389" s="466"/>
      <c r="J389" s="467"/>
    </row>
    <row r="390" spans="1:10">
      <c r="A390" s="498" t="s">
        <v>429</v>
      </c>
      <c r="B390" s="400" t="s">
        <v>428</v>
      </c>
      <c r="C390" s="495">
        <v>80</v>
      </c>
      <c r="D390" s="398" t="s">
        <v>534</v>
      </c>
      <c r="E390" s="489" t="s">
        <v>568</v>
      </c>
      <c r="F390" s="484"/>
      <c r="G390" s="485"/>
      <c r="H390" s="486"/>
      <c r="I390" s="466"/>
      <c r="J390" s="467"/>
    </row>
    <row r="391" spans="1:10">
      <c r="A391" s="498" t="s">
        <v>429</v>
      </c>
      <c r="B391" s="400" t="s">
        <v>428</v>
      </c>
      <c r="C391" s="495">
        <v>80</v>
      </c>
      <c r="D391" s="398" t="s">
        <v>535</v>
      </c>
      <c r="E391" s="489" t="s">
        <v>569</v>
      </c>
      <c r="F391" s="484"/>
      <c r="G391" s="485"/>
      <c r="H391" s="486"/>
      <c r="I391" s="466"/>
      <c r="J391" s="467"/>
    </row>
    <row r="392" spans="1:10">
      <c r="A392" s="498" t="s">
        <v>429</v>
      </c>
      <c r="B392" s="400" t="s">
        <v>428</v>
      </c>
      <c r="C392" s="495">
        <v>80</v>
      </c>
      <c r="D392" s="398" t="s">
        <v>536</v>
      </c>
      <c r="E392" s="489" t="s">
        <v>570</v>
      </c>
      <c r="F392" s="484"/>
      <c r="G392" s="485"/>
      <c r="H392" s="486"/>
      <c r="I392" s="466"/>
      <c r="J392" s="467"/>
    </row>
    <row r="393" spans="1:10">
      <c r="A393" s="499" t="s">
        <v>422</v>
      </c>
      <c r="B393" s="397" t="s">
        <v>423</v>
      </c>
      <c r="C393" s="491">
        <v>80</v>
      </c>
      <c r="D393" s="398" t="s">
        <v>537</v>
      </c>
      <c r="E393" s="489" t="s">
        <v>571</v>
      </c>
      <c r="F393" s="486"/>
      <c r="G393" s="485"/>
      <c r="H393" s="486"/>
      <c r="I393" s="468"/>
      <c r="J393" s="467"/>
    </row>
    <row r="394" spans="1:10" ht="15.75" thickBot="1">
      <c r="A394" s="500" t="s">
        <v>426</v>
      </c>
      <c r="B394" s="480" t="s">
        <v>425</v>
      </c>
      <c r="C394" s="497">
        <v>60</v>
      </c>
      <c r="D394" s="487" t="s">
        <v>538</v>
      </c>
      <c r="E394" s="490" t="s">
        <v>64</v>
      </c>
      <c r="F394" s="484"/>
      <c r="G394" s="485"/>
      <c r="H394" s="486"/>
      <c r="I394" s="468"/>
      <c r="J394" s="467"/>
    </row>
    <row r="395" spans="1:10">
      <c r="G395" s="469"/>
      <c r="H395" s="469"/>
      <c r="I395" s="469"/>
      <c r="J395" s="469"/>
    </row>
    <row r="396" spans="1:10" ht="15.75" thickBot="1"/>
    <row r="397" spans="1:10" ht="18.75" thickBot="1">
      <c r="A397" s="309"/>
      <c r="B397" s="527" t="s">
        <v>364</v>
      </c>
      <c r="C397" s="527"/>
      <c r="D397" s="527"/>
    </row>
    <row r="398" spans="1:10" ht="15.75" thickBot="1">
      <c r="A398" s="382" t="s">
        <v>143</v>
      </c>
      <c r="B398" s="310" t="s">
        <v>126</v>
      </c>
      <c r="C398" s="383" t="s">
        <v>129</v>
      </c>
      <c r="D398" s="311" t="s">
        <v>132</v>
      </c>
    </row>
    <row r="399" spans="1:10">
      <c r="A399" s="312" t="s">
        <v>366</v>
      </c>
      <c r="B399" s="470">
        <v>-279</v>
      </c>
      <c r="C399" s="367">
        <v>-254</v>
      </c>
      <c r="D399" s="145">
        <v>-256</v>
      </c>
    </row>
    <row r="400" spans="1:10">
      <c r="A400" s="314" t="s">
        <v>365</v>
      </c>
      <c r="B400" s="181">
        <v>24769</v>
      </c>
      <c r="C400" s="365">
        <v>24652</v>
      </c>
      <c r="D400" s="147">
        <v>24652</v>
      </c>
    </row>
    <row r="401" spans="1:4">
      <c r="A401" s="314" t="s">
        <v>368</v>
      </c>
      <c r="B401" s="181">
        <v>1029</v>
      </c>
      <c r="C401" s="365">
        <v>974</v>
      </c>
      <c r="D401" s="147">
        <v>977</v>
      </c>
    </row>
    <row r="402" spans="1:4">
      <c r="A402" s="314" t="s">
        <v>367</v>
      </c>
      <c r="B402" s="181">
        <v>24540</v>
      </c>
      <c r="C402" s="365">
        <v>24729</v>
      </c>
      <c r="D402" s="147">
        <v>24729</v>
      </c>
    </row>
    <row r="403" spans="1:4" ht="15.75" thickBot="1">
      <c r="A403" s="315" t="s">
        <v>369</v>
      </c>
      <c r="B403" s="182">
        <v>13542</v>
      </c>
      <c r="C403" s="366">
        <v>13140</v>
      </c>
      <c r="D403" s="150">
        <v>13142</v>
      </c>
    </row>
    <row r="405" spans="1:4" ht="15.75" thickBot="1">
      <c r="A405" s="384" t="s">
        <v>437</v>
      </c>
    </row>
    <row r="406" spans="1:4">
      <c r="A406" s="471" t="s">
        <v>250</v>
      </c>
      <c r="B406" s="472" t="s">
        <v>436</v>
      </c>
      <c r="C406" s="530" t="s">
        <v>539</v>
      </c>
      <c r="D406" s="531"/>
    </row>
    <row r="407" spans="1:4">
      <c r="A407" s="473" t="s">
        <v>137</v>
      </c>
      <c r="B407" s="462">
        <v>1041796840</v>
      </c>
      <c r="C407" s="528" t="s">
        <v>467</v>
      </c>
      <c r="D407" s="529"/>
    </row>
    <row r="408" spans="1:4">
      <c r="A408" s="473" t="s">
        <v>138</v>
      </c>
      <c r="B408" s="462">
        <v>1041797132</v>
      </c>
      <c r="C408" s="528" t="s">
        <v>468</v>
      </c>
      <c r="D408" s="529"/>
    </row>
    <row r="409" spans="1:4">
      <c r="A409" s="473" t="s">
        <v>139</v>
      </c>
      <c r="B409" s="462">
        <v>1041797380</v>
      </c>
      <c r="C409" s="528" t="s">
        <v>469</v>
      </c>
      <c r="D409" s="529"/>
    </row>
    <row r="410" spans="1:4">
      <c r="A410" s="473" t="s">
        <v>433</v>
      </c>
      <c r="B410" s="462">
        <v>1041797590</v>
      </c>
      <c r="C410" s="528" t="s">
        <v>470</v>
      </c>
      <c r="D410" s="529"/>
    </row>
    <row r="411" spans="1:4">
      <c r="A411" s="473" t="s">
        <v>434</v>
      </c>
      <c r="B411" s="462">
        <v>1041797910</v>
      </c>
      <c r="C411" s="528" t="s">
        <v>471</v>
      </c>
      <c r="D411" s="529"/>
    </row>
    <row r="412" spans="1:4" ht="15.75" thickBot="1">
      <c r="A412" s="474" t="s">
        <v>435</v>
      </c>
      <c r="B412" s="475">
        <v>1041798117</v>
      </c>
      <c r="C412" s="532" t="s">
        <v>472</v>
      </c>
      <c r="D412" s="533"/>
    </row>
    <row r="416" spans="1:4" ht="15.75">
      <c r="A416" s="454"/>
    </row>
    <row r="417" spans="1:1" ht="15.75">
      <c r="A417" s="454"/>
    </row>
    <row r="418" spans="1:1" ht="15.75">
      <c r="A418" s="454"/>
    </row>
    <row r="419" spans="1:1" ht="15.75">
      <c r="A419" s="454"/>
    </row>
    <row r="420" spans="1:1" ht="15.75">
      <c r="A420" s="454"/>
    </row>
    <row r="421" spans="1:1" ht="15.75">
      <c r="A421" s="454"/>
    </row>
    <row r="422" spans="1:1" ht="15.75">
      <c r="A422" s="454"/>
    </row>
    <row r="423" spans="1:1" ht="15.75">
      <c r="A423" s="454"/>
    </row>
    <row r="424" spans="1:1" ht="15.75">
      <c r="A424" s="454"/>
    </row>
    <row r="425" spans="1:1" ht="15.75">
      <c r="A425" s="454"/>
    </row>
    <row r="426" spans="1:1" ht="15.75">
      <c r="A426" s="454"/>
    </row>
    <row r="427" spans="1:1" ht="15.75">
      <c r="A427" s="454"/>
    </row>
    <row r="428" spans="1:1" ht="15.75">
      <c r="A428" s="454"/>
    </row>
    <row r="429" spans="1:1" ht="15.75">
      <c r="A429" s="454"/>
    </row>
    <row r="430" spans="1:1" ht="15.75">
      <c r="A430" s="454"/>
    </row>
    <row r="431" spans="1:1" ht="15.75">
      <c r="A431" s="454"/>
    </row>
    <row r="432" spans="1:1" ht="15.75">
      <c r="A432" s="454"/>
    </row>
    <row r="433" spans="1:1" ht="15.75">
      <c r="A433" s="454"/>
    </row>
    <row r="434" spans="1:1" ht="15.75">
      <c r="A434" s="454"/>
    </row>
    <row r="435" spans="1:1" ht="15.75">
      <c r="A435" s="454"/>
    </row>
    <row r="436" spans="1:1" ht="15.75">
      <c r="A436" s="454"/>
    </row>
    <row r="437" spans="1:1" ht="15.75">
      <c r="A437" s="454"/>
    </row>
    <row r="438" spans="1:1" ht="15.75">
      <c r="A438" s="454"/>
    </row>
    <row r="439" spans="1:1" ht="15.75">
      <c r="A439" s="454"/>
    </row>
    <row r="440" spans="1:1" ht="15.75">
      <c r="A440" s="454"/>
    </row>
    <row r="441" spans="1:1" ht="15.75">
      <c r="A441" s="454"/>
    </row>
  </sheetData>
  <mergeCells count="93">
    <mergeCell ref="C407:D407"/>
    <mergeCell ref="C406:D406"/>
    <mergeCell ref="C412:D412"/>
    <mergeCell ref="C411:D411"/>
    <mergeCell ref="C410:D410"/>
    <mergeCell ref="C409:D409"/>
    <mergeCell ref="C408:D408"/>
    <mergeCell ref="H203:H208"/>
    <mergeCell ref="L203:L205"/>
    <mergeCell ref="L206:L208"/>
    <mergeCell ref="H209:H214"/>
    <mergeCell ref="L209:L211"/>
    <mergeCell ref="L212:L214"/>
    <mergeCell ref="A330:B330"/>
    <mergeCell ref="B397:D397"/>
    <mergeCell ref="M239:R239"/>
    <mergeCell ref="K241:K246"/>
    <mergeCell ref="M248:R248"/>
    <mergeCell ref="K250:K255"/>
    <mergeCell ref="B241:B246"/>
    <mergeCell ref="D248:I248"/>
    <mergeCell ref="B250:B255"/>
    <mergeCell ref="D257:I257"/>
    <mergeCell ref="M257:R257"/>
    <mergeCell ref="B259:B264"/>
    <mergeCell ref="K259:K264"/>
    <mergeCell ref="D266:I266"/>
    <mergeCell ref="M266:R266"/>
    <mergeCell ref="B268:B273"/>
    <mergeCell ref="A12:B12"/>
    <mergeCell ref="C12:C13"/>
    <mergeCell ref="A13:B13"/>
    <mergeCell ref="A14:B14"/>
    <mergeCell ref="A15:B15"/>
    <mergeCell ref="C15:C17"/>
    <mergeCell ref="A16:B16"/>
    <mergeCell ref="A17:B17"/>
    <mergeCell ref="A8:B8"/>
    <mergeCell ref="C8:C10"/>
    <mergeCell ref="A9:B9"/>
    <mergeCell ref="A10:B10"/>
    <mergeCell ref="A11:B11"/>
    <mergeCell ref="A4:B4"/>
    <mergeCell ref="A5:B5"/>
    <mergeCell ref="C5:C7"/>
    <mergeCell ref="A6:B6"/>
    <mergeCell ref="A7:B7"/>
    <mergeCell ref="A18:B18"/>
    <mergeCell ref="A19:B19"/>
    <mergeCell ref="C19:C21"/>
    <mergeCell ref="A20:B20"/>
    <mergeCell ref="A21:B21"/>
    <mergeCell ref="A22:B22"/>
    <mergeCell ref="A23:B23"/>
    <mergeCell ref="A24:B24"/>
    <mergeCell ref="A25:B25"/>
    <mergeCell ref="A28:B28"/>
    <mergeCell ref="B87:C87"/>
    <mergeCell ref="D87:E87"/>
    <mergeCell ref="F87:G87"/>
    <mergeCell ref="O87:P87"/>
    <mergeCell ref="C28:D28"/>
    <mergeCell ref="A78:B78"/>
    <mergeCell ref="C78:D78"/>
    <mergeCell ref="B86:C86"/>
    <mergeCell ref="D86:E86"/>
    <mergeCell ref="A158:A160"/>
    <mergeCell ref="A164:A166"/>
    <mergeCell ref="C170:F170"/>
    <mergeCell ref="G170:J170"/>
    <mergeCell ref="C184:F184"/>
    <mergeCell ref="G184:J184"/>
    <mergeCell ref="A203:A208"/>
    <mergeCell ref="E203:E205"/>
    <mergeCell ref="E206:E208"/>
    <mergeCell ref="A209:A214"/>
    <mergeCell ref="E209:E211"/>
    <mergeCell ref="E212:E214"/>
    <mergeCell ref="B218:E218"/>
    <mergeCell ref="D239:I239"/>
    <mergeCell ref="D275:I275"/>
    <mergeCell ref="M275:R275"/>
    <mergeCell ref="B277:B282"/>
    <mergeCell ref="K277:K282"/>
    <mergeCell ref="K268:K273"/>
    <mergeCell ref="B317:C317"/>
    <mergeCell ref="A328:C328"/>
    <mergeCell ref="E328:F328"/>
    <mergeCell ref="D284:I284"/>
    <mergeCell ref="M284:R284"/>
    <mergeCell ref="B286:B291"/>
    <mergeCell ref="K286:K291"/>
    <mergeCell ref="B309:E309"/>
  </mergeCells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4"/>
  <sheetViews>
    <sheetView topLeftCell="A349" zoomScaleNormal="100" zoomScalePageLayoutView="60" workbookViewId="0">
      <selection activeCell="D378" sqref="A372:D378"/>
    </sheetView>
  </sheetViews>
  <sheetFormatPr defaultRowHeight="15"/>
  <cols>
    <col min="1" max="1" width="29.42578125" style="1"/>
    <col min="2" max="2" width="11.5703125" style="1"/>
    <col min="3" max="3" width="16.140625" style="2" bestFit="1" customWidth="1"/>
    <col min="4" max="4" width="17"/>
    <col min="5" max="5" width="21"/>
    <col min="6" max="6" width="8.5703125"/>
    <col min="7" max="7" width="9.28515625"/>
    <col min="8" max="8" width="21.7109375"/>
    <col min="9" max="9" width="14"/>
    <col min="10" max="10" width="8.5703125"/>
    <col min="11" max="11" width="7.140625"/>
    <col min="12" max="12" width="11.5703125"/>
    <col min="13" max="13" width="22.28515625"/>
    <col min="14" max="14" width="8.5703125"/>
    <col min="15" max="15" width="7.140625"/>
    <col min="16" max="16" width="11.85546875"/>
    <col min="17" max="17" width="22.28515625"/>
    <col min="18" max="1025" width="8.5703125"/>
  </cols>
  <sheetData>
    <row r="1" spans="1:13" ht="28.5">
      <c r="A1" s="3" t="s">
        <v>269</v>
      </c>
      <c r="B1" s="3" t="s">
        <v>270</v>
      </c>
    </row>
    <row r="2" spans="1:13" s="37" customFormat="1" ht="21">
      <c r="A2" s="247" t="s">
        <v>271</v>
      </c>
      <c r="C2" s="248"/>
    </row>
    <row r="3" spans="1:13" s="37" customFormat="1">
      <c r="C3" s="248"/>
    </row>
    <row r="4" spans="1:13">
      <c r="A4" s="1" t="s">
        <v>0</v>
      </c>
    </row>
    <row r="5" spans="1:13">
      <c r="A5" s="541" t="s">
        <v>1</v>
      </c>
      <c r="B5" s="541"/>
      <c r="C5" s="184" t="s">
        <v>272</v>
      </c>
      <c r="D5" s="184" t="s">
        <v>2</v>
      </c>
      <c r="E5" s="249" t="s">
        <v>3</v>
      </c>
    </row>
    <row r="6" spans="1:13">
      <c r="A6" s="542" t="s">
        <v>273</v>
      </c>
      <c r="B6" s="542"/>
      <c r="C6" s="250"/>
      <c r="D6" s="250" t="s">
        <v>5</v>
      </c>
      <c r="E6" s="251" t="s">
        <v>274</v>
      </c>
      <c r="I6" s="10"/>
      <c r="J6" s="10"/>
      <c r="K6" s="10"/>
      <c r="L6" s="10"/>
    </row>
    <row r="7" spans="1:13">
      <c r="A7" s="539" t="s">
        <v>275</v>
      </c>
      <c r="B7" s="539"/>
      <c r="C7" s="252"/>
      <c r="D7" s="252" t="s">
        <v>276</v>
      </c>
      <c r="E7" s="251" t="s">
        <v>277</v>
      </c>
      <c r="I7" s="10"/>
      <c r="J7" s="12"/>
      <c r="K7" s="12"/>
      <c r="L7" s="10"/>
    </row>
    <row r="8" spans="1:13">
      <c r="A8" s="539" t="s">
        <v>278</v>
      </c>
      <c r="B8" s="539"/>
      <c r="C8" s="252"/>
      <c r="D8" s="252" t="s">
        <v>279</v>
      </c>
      <c r="E8" s="251" t="s">
        <v>280</v>
      </c>
      <c r="I8" s="10"/>
      <c r="J8" s="12"/>
      <c r="K8" s="12"/>
      <c r="L8" s="10"/>
    </row>
    <row r="9" spans="1:13">
      <c r="A9" s="538" t="s">
        <v>281</v>
      </c>
      <c r="B9" s="538"/>
      <c r="C9" s="252"/>
      <c r="D9" s="252" t="s">
        <v>11</v>
      </c>
      <c r="E9" s="251" t="s">
        <v>282</v>
      </c>
      <c r="I9" s="10"/>
      <c r="J9" s="12"/>
      <c r="K9" s="12"/>
      <c r="L9" s="10"/>
    </row>
    <row r="10" spans="1:13">
      <c r="A10" s="538" t="s">
        <v>281</v>
      </c>
      <c r="B10" s="538"/>
      <c r="C10" s="252"/>
      <c r="D10" s="252" t="s">
        <v>11</v>
      </c>
      <c r="E10" s="251" t="s">
        <v>283</v>
      </c>
      <c r="I10" s="10"/>
      <c r="J10" s="10"/>
      <c r="K10" s="10"/>
      <c r="L10" s="10"/>
    </row>
    <row r="11" spans="1:13">
      <c r="A11" s="538" t="s">
        <v>17</v>
      </c>
      <c r="B11" s="538"/>
      <c r="C11" s="252"/>
      <c r="D11" s="252" t="s">
        <v>11</v>
      </c>
      <c r="E11" s="251" t="s">
        <v>284</v>
      </c>
      <c r="I11" s="10"/>
      <c r="J11" s="10"/>
      <c r="K11" s="10"/>
      <c r="L11" s="10"/>
    </row>
    <row r="12" spans="1:13">
      <c r="A12" s="540" t="s">
        <v>20</v>
      </c>
      <c r="B12" s="540"/>
      <c r="C12" s="252"/>
      <c r="D12" s="36" t="s">
        <v>21</v>
      </c>
      <c r="E12" s="253" t="s">
        <v>285</v>
      </c>
      <c r="H12" s="10"/>
      <c r="I12" s="10"/>
      <c r="J12" s="10"/>
      <c r="K12" s="10"/>
      <c r="L12" s="11"/>
      <c r="M12" s="11"/>
    </row>
    <row r="13" spans="1:13">
      <c r="A13" s="540"/>
      <c r="B13" s="540"/>
      <c r="C13" s="252"/>
      <c r="D13" s="36" t="s">
        <v>21</v>
      </c>
      <c r="E13" s="56" t="s">
        <v>286</v>
      </c>
      <c r="H13" s="10"/>
      <c r="I13" s="10"/>
      <c r="J13" s="10"/>
      <c r="K13" s="10"/>
      <c r="L13" s="11"/>
      <c r="M13" s="11"/>
    </row>
    <row r="14" spans="1:13">
      <c r="A14" s="538" t="s">
        <v>23</v>
      </c>
      <c r="B14" s="538"/>
      <c r="C14" s="252"/>
      <c r="D14" s="36" t="s">
        <v>24</v>
      </c>
      <c r="E14" s="56" t="s">
        <v>287</v>
      </c>
      <c r="H14" s="12"/>
      <c r="I14" s="10"/>
      <c r="J14" s="10"/>
      <c r="K14" s="10"/>
      <c r="L14" s="11"/>
      <c r="M14" s="11"/>
    </row>
    <row r="15" spans="1:13">
      <c r="A15" s="538" t="s">
        <v>288</v>
      </c>
      <c r="B15" s="538"/>
      <c r="C15" s="252"/>
      <c r="D15" s="36" t="s">
        <v>27</v>
      </c>
      <c r="E15" s="56" t="s">
        <v>289</v>
      </c>
      <c r="H15" s="12"/>
      <c r="I15" s="10"/>
      <c r="J15" s="10"/>
      <c r="K15" s="10"/>
      <c r="L15" s="10"/>
      <c r="M15" s="10"/>
    </row>
    <row r="16" spans="1:13">
      <c r="A16" s="538" t="s">
        <v>290</v>
      </c>
      <c r="B16" s="538"/>
      <c r="C16" s="252"/>
      <c r="D16" s="36" t="s">
        <v>27</v>
      </c>
      <c r="E16" s="56" t="s">
        <v>291</v>
      </c>
      <c r="H16" s="12"/>
      <c r="I16" s="10"/>
      <c r="J16" s="10"/>
      <c r="K16" s="10"/>
      <c r="L16" s="10"/>
      <c r="M16" s="10"/>
    </row>
    <row r="17" spans="1:10">
      <c r="A17" s="538" t="s">
        <v>292</v>
      </c>
      <c r="B17" s="538"/>
      <c r="C17" s="252"/>
      <c r="D17" s="36" t="s">
        <v>27</v>
      </c>
      <c r="E17" s="56" t="s">
        <v>293</v>
      </c>
    </row>
    <row r="18" spans="1:10">
      <c r="A18" s="538" t="s">
        <v>17</v>
      </c>
      <c r="B18" s="538"/>
      <c r="C18" s="252"/>
      <c r="D18" s="36" t="s">
        <v>294</v>
      </c>
      <c r="E18" s="56" t="s">
        <v>295</v>
      </c>
    </row>
    <row r="19" spans="1:10">
      <c r="A19" s="539" t="s">
        <v>34</v>
      </c>
      <c r="B19" s="539"/>
      <c r="C19" s="254"/>
      <c r="D19" s="36" t="s">
        <v>35</v>
      </c>
      <c r="E19" s="56" t="s">
        <v>296</v>
      </c>
    </row>
    <row r="20" spans="1:10">
      <c r="A20" s="539" t="s">
        <v>37</v>
      </c>
      <c r="B20" s="539"/>
      <c r="C20" s="254"/>
      <c r="D20" s="36" t="s">
        <v>35</v>
      </c>
      <c r="E20" s="56" t="s">
        <v>297</v>
      </c>
    </row>
    <row r="21" spans="1:10">
      <c r="A21" s="536" t="s">
        <v>39</v>
      </c>
      <c r="B21" s="536"/>
      <c r="C21" s="255"/>
      <c r="D21" s="53" t="s">
        <v>35</v>
      </c>
      <c r="E21" s="57" t="s">
        <v>298</v>
      </c>
      <c r="I21" t="s">
        <v>299</v>
      </c>
    </row>
    <row r="23" spans="1:10">
      <c r="H23" s="16" t="s">
        <v>40</v>
      </c>
      <c r="I23" s="16" t="s">
        <v>41</v>
      </c>
      <c r="J23" s="16" t="s">
        <v>300</v>
      </c>
    </row>
    <row r="24" spans="1:10">
      <c r="A24" s="537" t="s">
        <v>43</v>
      </c>
      <c r="B24" s="537"/>
      <c r="E24" s="537" t="s">
        <v>44</v>
      </c>
      <c r="F24" s="537"/>
      <c r="H24" s="17" t="s">
        <v>45</v>
      </c>
      <c r="I24" s="17" t="s">
        <v>46</v>
      </c>
      <c r="J24" s="17">
        <v>7.5</v>
      </c>
    </row>
    <row r="25" spans="1:10">
      <c r="A25" s="18" t="s">
        <v>40</v>
      </c>
      <c r="B25" s="19" t="s">
        <v>47</v>
      </c>
      <c r="E25" s="18" t="s">
        <v>40</v>
      </c>
      <c r="F25" s="19" t="s">
        <v>47</v>
      </c>
      <c r="H25" s="20" t="s">
        <v>48</v>
      </c>
      <c r="I25" s="20" t="s">
        <v>49</v>
      </c>
      <c r="J25" s="20">
        <v>11.3</v>
      </c>
    </row>
    <row r="26" spans="1:10" ht="15.75">
      <c r="A26" s="21" t="s">
        <v>50</v>
      </c>
      <c r="B26" s="22" t="s">
        <v>51</v>
      </c>
      <c r="E26" s="23" t="s">
        <v>52</v>
      </c>
      <c r="F26" s="24" t="s">
        <v>53</v>
      </c>
      <c r="H26" s="20" t="s">
        <v>54</v>
      </c>
      <c r="I26" s="20" t="s">
        <v>55</v>
      </c>
      <c r="J26" s="20">
        <v>11.1</v>
      </c>
    </row>
    <row r="27" spans="1:10" ht="15.75">
      <c r="A27" s="23" t="s">
        <v>56</v>
      </c>
      <c r="B27" s="24" t="s">
        <v>57</v>
      </c>
      <c r="E27" s="23" t="s">
        <v>58</v>
      </c>
      <c r="F27" s="24" t="s">
        <v>59</v>
      </c>
      <c r="H27" s="25" t="s">
        <v>60</v>
      </c>
      <c r="I27" s="25" t="s">
        <v>61</v>
      </c>
      <c r="J27" s="25">
        <v>7.5</v>
      </c>
    </row>
    <row r="28" spans="1:10" ht="15.75">
      <c r="A28" s="23" t="s">
        <v>62</v>
      </c>
      <c r="B28" s="24" t="s">
        <v>63</v>
      </c>
      <c r="E28" s="23" t="s">
        <v>64</v>
      </c>
      <c r="F28" s="24" t="s">
        <v>65</v>
      </c>
      <c r="H28" s="17" t="s">
        <v>66</v>
      </c>
      <c r="I28" s="17" t="s">
        <v>67</v>
      </c>
      <c r="J28" s="17">
        <v>7.4</v>
      </c>
    </row>
    <row r="29" spans="1:10" ht="15.75">
      <c r="A29" s="23" t="s">
        <v>68</v>
      </c>
      <c r="B29" s="24" t="s">
        <v>69</v>
      </c>
      <c r="E29" s="23" t="s">
        <v>70</v>
      </c>
      <c r="F29" s="24" t="s">
        <v>71</v>
      </c>
      <c r="H29" s="20" t="s">
        <v>72</v>
      </c>
      <c r="I29" s="20" t="s">
        <v>73</v>
      </c>
      <c r="J29" s="20">
        <v>11.1</v>
      </c>
    </row>
    <row r="30" spans="1:10" ht="15.75">
      <c r="A30" s="23" t="s">
        <v>74</v>
      </c>
      <c r="B30" s="24" t="s">
        <v>75</v>
      </c>
      <c r="E30" s="23" t="s">
        <v>76</v>
      </c>
      <c r="F30" s="24" t="s">
        <v>77</v>
      </c>
      <c r="H30" s="20" t="s">
        <v>78</v>
      </c>
      <c r="I30" s="20" t="s">
        <v>79</v>
      </c>
      <c r="J30" s="20">
        <v>11.1</v>
      </c>
    </row>
    <row r="31" spans="1:10" ht="15.75">
      <c r="A31" s="26" t="s">
        <v>80</v>
      </c>
      <c r="B31" s="27" t="s">
        <v>81</v>
      </c>
      <c r="E31" s="26" t="s">
        <v>82</v>
      </c>
      <c r="F31" s="27" t="s">
        <v>83</v>
      </c>
      <c r="H31" s="25" t="s">
        <v>84</v>
      </c>
      <c r="I31" s="25" t="s">
        <v>67</v>
      </c>
      <c r="J31" s="25">
        <v>7.4</v>
      </c>
    </row>
    <row r="32" spans="1:10">
      <c r="H32" s="28" t="s">
        <v>85</v>
      </c>
      <c r="I32" s="28" t="s">
        <v>86</v>
      </c>
      <c r="J32" s="28"/>
    </row>
    <row r="33" spans="1:10" ht="18">
      <c r="A33" s="29" t="s">
        <v>87</v>
      </c>
      <c r="H33" s="20" t="s">
        <v>88</v>
      </c>
      <c r="I33" s="20" t="s">
        <v>89</v>
      </c>
      <c r="J33" s="20"/>
    </row>
    <row r="34" spans="1:10">
      <c r="H34" s="20" t="s">
        <v>90</v>
      </c>
      <c r="I34" s="20" t="s">
        <v>91</v>
      </c>
      <c r="J34" s="20"/>
    </row>
    <row r="35" spans="1:10">
      <c r="H35" s="25" t="s">
        <v>96</v>
      </c>
      <c r="I35" s="25" t="s">
        <v>97</v>
      </c>
      <c r="J35" s="25"/>
    </row>
    <row r="37" spans="1:10" ht="31.5">
      <c r="A37" s="256" t="s">
        <v>250</v>
      </c>
      <c r="B37" s="257" t="s">
        <v>301</v>
      </c>
      <c r="C37" s="258" t="s">
        <v>302</v>
      </c>
      <c r="D37" s="258" t="s">
        <v>3</v>
      </c>
      <c r="E37" s="258" t="s">
        <v>303</v>
      </c>
      <c r="F37" s="259" t="s">
        <v>3</v>
      </c>
      <c r="G37" s="260" t="s">
        <v>304</v>
      </c>
      <c r="H37" s="257" t="s">
        <v>305</v>
      </c>
    </row>
    <row r="38" spans="1:10" ht="15.75">
      <c r="A38" s="261" t="s">
        <v>306</v>
      </c>
      <c r="B38" s="262">
        <v>101612</v>
      </c>
      <c r="C38" s="30" t="s">
        <v>307</v>
      </c>
      <c r="D38" s="30" t="s">
        <v>98</v>
      </c>
      <c r="E38" s="30" t="s">
        <v>92</v>
      </c>
      <c r="F38" s="34" t="s">
        <v>99</v>
      </c>
      <c r="G38" s="30" t="s">
        <v>308</v>
      </c>
      <c r="H38" s="262">
        <v>180</v>
      </c>
    </row>
    <row r="39" spans="1:10" ht="15.75">
      <c r="A39" s="263" t="s">
        <v>309</v>
      </c>
      <c r="B39" s="262">
        <v>101406</v>
      </c>
      <c r="C39" s="30" t="s">
        <v>307</v>
      </c>
      <c r="D39" s="30" t="s">
        <v>310</v>
      </c>
      <c r="E39" s="30" t="s">
        <v>92</v>
      </c>
      <c r="F39" s="264">
        <v>12864</v>
      </c>
      <c r="G39" s="30" t="s">
        <v>308</v>
      </c>
      <c r="H39" s="262">
        <v>180</v>
      </c>
    </row>
    <row r="40" spans="1:10" ht="15.75">
      <c r="A40" s="261" t="s">
        <v>311</v>
      </c>
      <c r="B40" s="262">
        <v>101612</v>
      </c>
      <c r="C40" s="30" t="s">
        <v>307</v>
      </c>
      <c r="D40" s="30" t="s">
        <v>104</v>
      </c>
      <c r="E40" s="30" t="s">
        <v>92</v>
      </c>
      <c r="F40" s="34" t="s">
        <v>105</v>
      </c>
      <c r="G40" s="30" t="s">
        <v>308</v>
      </c>
      <c r="H40" s="262">
        <v>180</v>
      </c>
    </row>
    <row r="41" spans="1:10" ht="15.75">
      <c r="A41" s="263" t="s">
        <v>312</v>
      </c>
      <c r="B41" s="262">
        <v>101406</v>
      </c>
      <c r="C41" s="30" t="s">
        <v>307</v>
      </c>
      <c r="D41" s="30" t="s">
        <v>313</v>
      </c>
      <c r="E41" s="30" t="s">
        <v>92</v>
      </c>
      <c r="F41" s="264">
        <v>12860</v>
      </c>
      <c r="G41" s="30" t="s">
        <v>314</v>
      </c>
      <c r="H41" s="262">
        <v>0</v>
      </c>
    </row>
    <row r="42" spans="1:10" ht="15.75">
      <c r="A42" s="263" t="s">
        <v>315</v>
      </c>
      <c r="B42" s="262">
        <v>101406</v>
      </c>
      <c r="C42" s="30" t="s">
        <v>307</v>
      </c>
      <c r="D42" s="30" t="s">
        <v>316</v>
      </c>
      <c r="E42" s="30" t="s">
        <v>92</v>
      </c>
      <c r="F42" s="264">
        <v>12863</v>
      </c>
      <c r="G42" s="30" t="s">
        <v>308</v>
      </c>
      <c r="H42" s="262">
        <v>0</v>
      </c>
    </row>
    <row r="43" spans="1:10" ht="15.75">
      <c r="A43" s="263" t="s">
        <v>317</v>
      </c>
      <c r="B43" s="265">
        <v>101470</v>
      </c>
      <c r="C43" s="266" t="s">
        <v>307</v>
      </c>
      <c r="D43" s="267" t="s">
        <v>318</v>
      </c>
      <c r="E43" s="267" t="s">
        <v>92</v>
      </c>
      <c r="F43" s="268">
        <v>12898</v>
      </c>
      <c r="G43" s="266" t="s">
        <v>308</v>
      </c>
      <c r="H43" s="269">
        <v>0</v>
      </c>
    </row>
    <row r="44" spans="1:10" ht="15.75">
      <c r="A44" s="263" t="s">
        <v>319</v>
      </c>
      <c r="B44" s="262">
        <v>101406</v>
      </c>
      <c r="C44" s="30" t="s">
        <v>307</v>
      </c>
      <c r="D44" s="30" t="s">
        <v>320</v>
      </c>
      <c r="E44" s="30" t="s">
        <v>92</v>
      </c>
      <c r="F44" s="264">
        <v>12867</v>
      </c>
      <c r="G44" s="30" t="s">
        <v>308</v>
      </c>
      <c r="H44" s="262">
        <v>180</v>
      </c>
    </row>
    <row r="45" spans="1:10" ht="15.75">
      <c r="A45" s="263" t="s">
        <v>321</v>
      </c>
      <c r="B45" s="262">
        <v>101612</v>
      </c>
      <c r="C45" s="30" t="s">
        <v>307</v>
      </c>
      <c r="D45" s="30" t="s">
        <v>110</v>
      </c>
      <c r="E45" s="30" t="s">
        <v>92</v>
      </c>
      <c r="F45" s="34" t="s">
        <v>111</v>
      </c>
      <c r="G45" s="30" t="s">
        <v>308</v>
      </c>
      <c r="H45" s="262">
        <v>180</v>
      </c>
    </row>
    <row r="46" spans="1:10" ht="15.75">
      <c r="A46" s="263" t="s">
        <v>322</v>
      </c>
      <c r="B46" s="262">
        <v>101612</v>
      </c>
      <c r="C46" s="30" t="s">
        <v>307</v>
      </c>
      <c r="D46" s="30" t="s">
        <v>115</v>
      </c>
      <c r="E46" s="30" t="s">
        <v>92</v>
      </c>
      <c r="F46" s="34" t="s">
        <v>116</v>
      </c>
      <c r="G46" s="30" t="s">
        <v>308</v>
      </c>
      <c r="H46" s="262">
        <v>180</v>
      </c>
    </row>
    <row r="47" spans="1:10" ht="15.75">
      <c r="A47" s="263" t="s">
        <v>323</v>
      </c>
      <c r="B47" s="262">
        <v>101612</v>
      </c>
      <c r="C47" s="30" t="s">
        <v>307</v>
      </c>
      <c r="D47" s="30" t="s">
        <v>112</v>
      </c>
      <c r="E47" s="30" t="s">
        <v>92</v>
      </c>
      <c r="F47" s="34" t="s">
        <v>113</v>
      </c>
      <c r="G47" s="30" t="s">
        <v>308</v>
      </c>
      <c r="H47" s="262">
        <v>0</v>
      </c>
    </row>
    <row r="48" spans="1:10" ht="15.75">
      <c r="A48" s="263" t="s">
        <v>324</v>
      </c>
      <c r="B48" s="262">
        <v>101612</v>
      </c>
      <c r="C48" s="30" t="s">
        <v>307</v>
      </c>
      <c r="D48" s="30" t="s">
        <v>107</v>
      </c>
      <c r="E48" s="30" t="s">
        <v>92</v>
      </c>
      <c r="F48" s="34" t="s">
        <v>108</v>
      </c>
      <c r="G48" s="30" t="s">
        <v>308</v>
      </c>
      <c r="H48" s="262">
        <v>0</v>
      </c>
    </row>
    <row r="49" spans="1:14" ht="15.75">
      <c r="A49" s="263" t="s">
        <v>325</v>
      </c>
      <c r="B49" s="262">
        <v>101406</v>
      </c>
      <c r="C49" s="30" t="s">
        <v>307</v>
      </c>
      <c r="D49" s="30" t="s">
        <v>326</v>
      </c>
      <c r="E49" s="30" t="s">
        <v>92</v>
      </c>
      <c r="F49" s="264">
        <v>12868</v>
      </c>
      <c r="G49" s="30" t="s">
        <v>308</v>
      </c>
      <c r="H49" s="262">
        <v>0</v>
      </c>
    </row>
    <row r="50" spans="1:14">
      <c r="A50" s="38"/>
      <c r="B50" s="13"/>
      <c r="C50" s="39"/>
      <c r="D50" s="40"/>
    </row>
    <row r="51" spans="1:14">
      <c r="A51" s="38"/>
      <c r="B51" s="13"/>
      <c r="C51" s="39"/>
      <c r="D51" s="40"/>
    </row>
    <row r="53" spans="1:14" ht="15.75">
      <c r="A53" s="19" t="s">
        <v>117</v>
      </c>
      <c r="B53" s="18" t="s">
        <v>118</v>
      </c>
      <c r="C53" s="54" t="s">
        <v>119</v>
      </c>
      <c r="D53" s="38"/>
      <c r="I53" s="42"/>
      <c r="J53" s="42"/>
      <c r="K53" s="43"/>
      <c r="L53" s="44"/>
      <c r="M53" s="45"/>
      <c r="N53" s="45"/>
    </row>
    <row r="54" spans="1:14">
      <c r="A54" s="270" t="s">
        <v>100</v>
      </c>
      <c r="B54" s="46" t="s">
        <v>327</v>
      </c>
      <c r="C54" s="130">
        <v>33</v>
      </c>
      <c r="D54" s="47"/>
      <c r="I54" s="48"/>
      <c r="J54" s="48"/>
      <c r="K54" s="49"/>
      <c r="L54" s="50"/>
      <c r="M54" s="48"/>
      <c r="N54" s="48"/>
    </row>
    <row r="55" spans="1:14">
      <c r="A55" s="95" t="s">
        <v>101</v>
      </c>
      <c r="B55" s="36">
        <v>801</v>
      </c>
      <c r="C55" s="51">
        <v>31</v>
      </c>
      <c r="D55" s="47"/>
      <c r="I55" s="48"/>
      <c r="J55" s="48"/>
      <c r="K55" s="49"/>
      <c r="L55" s="50"/>
      <c r="M55" s="48"/>
      <c r="N55" s="48"/>
    </row>
    <row r="56" spans="1:14">
      <c r="A56" s="95" t="s">
        <v>102</v>
      </c>
      <c r="B56" s="36">
        <v>783</v>
      </c>
      <c r="C56" s="51">
        <v>16</v>
      </c>
      <c r="D56" s="47"/>
      <c r="I56" s="48"/>
      <c r="J56" s="48"/>
      <c r="K56" s="49"/>
      <c r="L56" s="50"/>
      <c r="M56" s="48"/>
      <c r="N56" s="48"/>
    </row>
    <row r="57" spans="1:14">
      <c r="A57" s="95" t="s">
        <v>103</v>
      </c>
      <c r="B57" s="36">
        <v>740</v>
      </c>
      <c r="C57" s="51">
        <v>79</v>
      </c>
      <c r="D57" s="47"/>
      <c r="I57" s="48"/>
      <c r="J57" s="48"/>
      <c r="K57" s="49"/>
      <c r="L57" s="50"/>
      <c r="M57" s="48"/>
      <c r="N57" s="48"/>
    </row>
    <row r="58" spans="1:14">
      <c r="A58" s="95" t="s">
        <v>106</v>
      </c>
      <c r="B58" s="36">
        <v>739</v>
      </c>
      <c r="C58" s="51">
        <v>94</v>
      </c>
      <c r="D58" s="47"/>
      <c r="I58" s="48"/>
      <c r="J58" s="48"/>
      <c r="K58" s="49"/>
      <c r="L58" s="50"/>
      <c r="M58" s="48"/>
      <c r="N58" s="48"/>
    </row>
    <row r="59" spans="1:14">
      <c r="A59" s="98" t="s">
        <v>109</v>
      </c>
      <c r="B59" s="199">
        <v>677</v>
      </c>
      <c r="C59" s="241">
        <v>26</v>
      </c>
      <c r="D59" s="47"/>
      <c r="I59" s="48"/>
      <c r="J59" s="48"/>
      <c r="K59" s="49"/>
      <c r="L59" s="50"/>
      <c r="M59" s="48"/>
      <c r="N59" s="48"/>
    </row>
    <row r="60" spans="1:14">
      <c r="I60" s="10"/>
      <c r="J60" s="10"/>
      <c r="K60" s="10"/>
      <c r="L60" s="10"/>
      <c r="M60" s="10"/>
      <c r="N60" s="10"/>
    </row>
    <row r="61" spans="1:14">
      <c r="A61" s="19" t="s">
        <v>120</v>
      </c>
      <c r="B61" s="18" t="s">
        <v>118</v>
      </c>
      <c r="C61" s="54" t="s">
        <v>119</v>
      </c>
      <c r="D61" s="38"/>
      <c r="G61" s="10"/>
      <c r="H61" s="48"/>
      <c r="I61" s="48"/>
      <c r="J61" s="48"/>
      <c r="K61" s="50"/>
      <c r="L61" s="48"/>
      <c r="M61" s="48"/>
    </row>
    <row r="62" spans="1:14">
      <c r="A62" s="271" t="s">
        <v>100</v>
      </c>
      <c r="B62" s="272">
        <v>1105</v>
      </c>
      <c r="C62" s="273">
        <v>76</v>
      </c>
      <c r="D62" s="47"/>
      <c r="G62" s="10"/>
      <c r="H62" s="48"/>
      <c r="I62" s="48"/>
      <c r="J62" s="49"/>
      <c r="K62" s="50"/>
      <c r="L62" s="48"/>
      <c r="M62" s="48"/>
    </row>
    <row r="63" spans="1:14">
      <c r="A63" s="274" t="s">
        <v>101</v>
      </c>
      <c r="B63" s="272">
        <v>970</v>
      </c>
      <c r="C63" s="273">
        <v>30</v>
      </c>
      <c r="D63" s="47"/>
      <c r="G63" s="10"/>
      <c r="H63" s="48"/>
      <c r="I63" s="48"/>
      <c r="J63" s="49"/>
      <c r="K63" s="50"/>
      <c r="L63" s="48"/>
      <c r="M63" s="48"/>
    </row>
    <row r="64" spans="1:14">
      <c r="A64" s="274" t="s">
        <v>102</v>
      </c>
      <c r="B64" s="272">
        <v>819</v>
      </c>
      <c r="C64" s="273">
        <v>129</v>
      </c>
      <c r="D64" s="47"/>
      <c r="G64" s="10"/>
      <c r="H64" s="48"/>
      <c r="I64" s="48"/>
      <c r="J64" s="49"/>
      <c r="K64" s="50"/>
      <c r="L64" s="48"/>
      <c r="M64" s="48"/>
    </row>
    <row r="65" spans="1:13">
      <c r="A65" s="274" t="s">
        <v>103</v>
      </c>
      <c r="B65" s="272">
        <v>1085</v>
      </c>
      <c r="C65" s="273">
        <v>37</v>
      </c>
      <c r="D65" s="47"/>
      <c r="G65" s="10"/>
      <c r="H65" s="48"/>
      <c r="I65" s="48"/>
      <c r="J65" s="49"/>
      <c r="K65" s="50"/>
      <c r="L65" s="48"/>
      <c r="M65" s="48"/>
    </row>
    <row r="66" spans="1:13">
      <c r="A66" s="274" t="s">
        <v>106</v>
      </c>
      <c r="B66" s="272">
        <v>1089</v>
      </c>
      <c r="C66" s="273">
        <v>127</v>
      </c>
      <c r="D66" s="47"/>
      <c r="G66" s="10"/>
      <c r="H66" s="48"/>
      <c r="I66" s="48"/>
      <c r="J66" s="49"/>
      <c r="K66" s="50"/>
      <c r="L66" s="48"/>
      <c r="M66" s="48"/>
    </row>
    <row r="67" spans="1:13">
      <c r="A67" s="275" t="s">
        <v>109</v>
      </c>
      <c r="B67" s="276">
        <v>929</v>
      </c>
      <c r="C67" s="277">
        <v>17</v>
      </c>
      <c r="D67" s="47"/>
      <c r="G67" s="10"/>
      <c r="H67" s="10"/>
      <c r="I67" s="10"/>
      <c r="J67" s="10"/>
      <c r="K67" s="10"/>
      <c r="L67" s="10"/>
      <c r="M67" s="10"/>
    </row>
    <row r="69" spans="1:13">
      <c r="A69" s="278" t="s">
        <v>328</v>
      </c>
      <c r="B69" s="18" t="s">
        <v>118</v>
      </c>
      <c r="C69" s="54" t="s">
        <v>119</v>
      </c>
      <c r="D69" s="19" t="s">
        <v>329</v>
      </c>
      <c r="E69" s="16" t="s">
        <v>330</v>
      </c>
    </row>
    <row r="70" spans="1:13">
      <c r="A70" s="270" t="s">
        <v>126</v>
      </c>
      <c r="B70" s="33">
        <v>112</v>
      </c>
      <c r="C70" s="192">
        <v>32</v>
      </c>
      <c r="D70" s="61" t="s">
        <v>331</v>
      </c>
      <c r="E70" s="279" t="s">
        <v>332</v>
      </c>
    </row>
    <row r="71" spans="1:13">
      <c r="A71" s="95" t="s">
        <v>129</v>
      </c>
      <c r="B71" s="36">
        <v>118</v>
      </c>
      <c r="C71" s="193">
        <v>20</v>
      </c>
      <c r="D71" s="36" t="s">
        <v>331</v>
      </c>
      <c r="E71" s="280" t="s">
        <v>333</v>
      </c>
    </row>
    <row r="72" spans="1:13">
      <c r="A72" s="38" t="s">
        <v>132</v>
      </c>
      <c r="B72" s="199">
        <v>101</v>
      </c>
      <c r="C72" s="200">
        <v>19</v>
      </c>
      <c r="D72" s="201" t="s">
        <v>331</v>
      </c>
      <c r="E72" s="281" t="s">
        <v>334</v>
      </c>
    </row>
    <row r="74" spans="1:13">
      <c r="A74" s="504" t="s">
        <v>122</v>
      </c>
      <c r="B74" s="504"/>
      <c r="C74" s="504" t="s">
        <v>123</v>
      </c>
      <c r="D74" s="504"/>
    </row>
    <row r="75" spans="1:13">
      <c r="A75" s="18" t="s">
        <v>124</v>
      </c>
      <c r="B75" s="19" t="s">
        <v>125</v>
      </c>
      <c r="C75" s="18" t="s">
        <v>124</v>
      </c>
      <c r="D75" s="19" t="s">
        <v>125</v>
      </c>
    </row>
    <row r="76" spans="1:13">
      <c r="A76" s="58" t="s">
        <v>126</v>
      </c>
      <c r="B76" s="33" t="s">
        <v>127</v>
      </c>
      <c r="C76" s="58" t="s">
        <v>126</v>
      </c>
      <c r="D76" s="33" t="s">
        <v>128</v>
      </c>
    </row>
    <row r="77" spans="1:13">
      <c r="A77" s="35" t="s">
        <v>129</v>
      </c>
      <c r="B77" s="36" t="s">
        <v>130</v>
      </c>
      <c r="C77" s="35" t="s">
        <v>129</v>
      </c>
      <c r="D77" s="36" t="s">
        <v>131</v>
      </c>
      <c r="F77" t="s">
        <v>335</v>
      </c>
    </row>
    <row r="78" spans="1:13">
      <c r="A78" s="52" t="s">
        <v>132</v>
      </c>
      <c r="B78" s="53" t="s">
        <v>127</v>
      </c>
      <c r="C78" s="52" t="s">
        <v>132</v>
      </c>
      <c r="D78" s="53" t="s">
        <v>133</v>
      </c>
    </row>
    <row r="80" spans="1:13">
      <c r="B80" s="504" t="s">
        <v>43</v>
      </c>
      <c r="C80" s="504"/>
      <c r="D80" s="504" t="s">
        <v>44</v>
      </c>
      <c r="E80" s="504"/>
    </row>
    <row r="81" spans="1:17">
      <c r="A81" s="18" t="s">
        <v>134</v>
      </c>
      <c r="B81" s="19" t="s">
        <v>135</v>
      </c>
      <c r="C81" s="19" t="s">
        <v>136</v>
      </c>
      <c r="D81" s="19" t="s">
        <v>135</v>
      </c>
      <c r="E81" s="19" t="s">
        <v>136</v>
      </c>
    </row>
    <row r="82" spans="1:17">
      <c r="A82" s="32" t="s">
        <v>137</v>
      </c>
      <c r="B82" s="60"/>
      <c r="C82" s="60"/>
      <c r="D82" s="61"/>
      <c r="E82" s="61"/>
    </row>
    <row r="83" spans="1:17">
      <c r="A83" s="35" t="s">
        <v>138</v>
      </c>
      <c r="B83" s="36"/>
      <c r="C83" s="36"/>
      <c r="D83" s="36"/>
      <c r="E83" s="36"/>
    </row>
    <row r="84" spans="1:17">
      <c r="A84" s="52" t="s">
        <v>139</v>
      </c>
      <c r="B84" s="53"/>
      <c r="C84" s="53"/>
      <c r="D84" s="53"/>
      <c r="E84" s="53"/>
    </row>
    <row r="87" spans="1:17">
      <c r="A87" s="62">
        <v>40716</v>
      </c>
      <c r="B87" s="509"/>
      <c r="C87" s="509"/>
      <c r="D87" s="512"/>
      <c r="E87" s="512"/>
    </row>
    <row r="88" spans="1:17">
      <c r="A88" s="38"/>
      <c r="B88" s="507" t="s">
        <v>140</v>
      </c>
      <c r="C88" s="507"/>
      <c r="D88" s="508" t="s">
        <v>141</v>
      </c>
      <c r="E88" s="508"/>
      <c r="F88" s="535" t="s">
        <v>142</v>
      </c>
      <c r="G88" s="535"/>
      <c r="N88" s="10"/>
      <c r="O88" s="509"/>
      <c r="P88" s="509"/>
      <c r="Q88" s="10"/>
    </row>
    <row r="89" spans="1:17">
      <c r="A89" s="19" t="s">
        <v>143</v>
      </c>
      <c r="B89" s="31" t="s">
        <v>144</v>
      </c>
      <c r="C89" s="54" t="s">
        <v>145</v>
      </c>
      <c r="D89" s="19" t="s">
        <v>144</v>
      </c>
      <c r="E89" s="18" t="s">
        <v>145</v>
      </c>
      <c r="F89" s="54" t="s">
        <v>144</v>
      </c>
      <c r="G89" s="19" t="s">
        <v>146</v>
      </c>
      <c r="N89" s="10"/>
      <c r="O89" s="10"/>
      <c r="P89" s="10"/>
      <c r="Q89" s="10"/>
    </row>
    <row r="90" spans="1:17">
      <c r="A90" s="58" t="s">
        <v>50</v>
      </c>
      <c r="B90" s="63">
        <v>-51.307359600905301</v>
      </c>
      <c r="C90" s="64">
        <v>3.79478391281897</v>
      </c>
      <c r="D90" s="65">
        <v>-135.483119632117</v>
      </c>
      <c r="E90" s="66">
        <v>8.9304995763479003</v>
      </c>
      <c r="F90" s="282">
        <f t="shared" ref="F90:F101" si="0">B90-D90</f>
        <v>84.175760031211695</v>
      </c>
      <c r="G90" s="138">
        <f t="shared" ref="G90:G95" si="1">F90/840</f>
        <v>0.10020923813239488</v>
      </c>
      <c r="N90" s="10"/>
      <c r="O90" s="10"/>
      <c r="P90" s="10"/>
      <c r="Q90" s="10"/>
    </row>
    <row r="91" spans="1:17">
      <c r="A91" s="35" t="s">
        <v>56</v>
      </c>
      <c r="B91" s="69">
        <v>-830.74709095060803</v>
      </c>
      <c r="C91" s="70">
        <v>3.8769155537730202</v>
      </c>
      <c r="D91" s="71">
        <v>-415.56422609090799</v>
      </c>
      <c r="E91" s="72">
        <v>9.1031229626359398</v>
      </c>
      <c r="F91" s="283">
        <f t="shared" si="0"/>
        <v>-415.18286485970003</v>
      </c>
      <c r="G91" s="140">
        <f t="shared" si="1"/>
        <v>-0.49426531530916673</v>
      </c>
      <c r="N91" s="10"/>
      <c r="O91" s="10"/>
      <c r="P91" s="10"/>
      <c r="Q91" s="10"/>
    </row>
    <row r="92" spans="1:17">
      <c r="A92" s="35" t="s">
        <v>62</v>
      </c>
      <c r="B92" s="69">
        <v>-85.043578805401907</v>
      </c>
      <c r="C92" s="70">
        <v>5.0374490595766002</v>
      </c>
      <c r="D92" s="71">
        <v>583.78993936628103</v>
      </c>
      <c r="E92" s="72">
        <v>11.105555894976099</v>
      </c>
      <c r="F92" s="283">
        <f t="shared" si="0"/>
        <v>-668.83351817168295</v>
      </c>
      <c r="G92" s="140">
        <f t="shared" si="1"/>
        <v>-0.79623037877581304</v>
      </c>
      <c r="N92" s="10"/>
      <c r="O92" s="38"/>
      <c r="P92" s="10"/>
      <c r="Q92" s="10"/>
    </row>
    <row r="93" spans="1:17">
      <c r="A93" s="35" t="s">
        <v>68</v>
      </c>
      <c r="B93" s="69">
        <v>-1298.2017882615301</v>
      </c>
      <c r="C93" s="70">
        <v>6.9380203750511003</v>
      </c>
      <c r="D93" s="71">
        <v>-479.14970818907</v>
      </c>
      <c r="E93" s="72">
        <v>38.574666629983597</v>
      </c>
      <c r="F93" s="283">
        <f t="shared" si="0"/>
        <v>-819.05208007246006</v>
      </c>
      <c r="G93" s="140">
        <f t="shared" si="1"/>
        <v>-0.97506200008626198</v>
      </c>
      <c r="N93" s="10"/>
      <c r="O93" s="75"/>
      <c r="P93" s="10"/>
      <c r="Q93" s="10"/>
    </row>
    <row r="94" spans="1:17">
      <c r="A94" s="35" t="s">
        <v>74</v>
      </c>
      <c r="B94" s="69">
        <v>-2808.0152822136902</v>
      </c>
      <c r="C94" s="70">
        <v>4.2320555369917798</v>
      </c>
      <c r="D94" s="71">
        <v>-2432.8741564154602</v>
      </c>
      <c r="E94" s="72">
        <v>46.294509997594403</v>
      </c>
      <c r="F94" s="283">
        <f t="shared" si="0"/>
        <v>-375.14112579822995</v>
      </c>
      <c r="G94" s="140">
        <f t="shared" si="1"/>
        <v>-0.44659657833122612</v>
      </c>
      <c r="N94" s="10"/>
      <c r="O94" s="75"/>
      <c r="P94" s="10"/>
      <c r="Q94" s="10"/>
    </row>
    <row r="95" spans="1:17">
      <c r="A95" s="52" t="s">
        <v>80</v>
      </c>
      <c r="B95" s="76">
        <v>1824.81712788343</v>
      </c>
      <c r="C95" s="77">
        <v>4.5406968216320598</v>
      </c>
      <c r="D95" s="78">
        <v>2220.7181635201</v>
      </c>
      <c r="E95" s="79">
        <v>34.623916543138897</v>
      </c>
      <c r="F95" s="284">
        <f t="shared" si="0"/>
        <v>-395.90103563667003</v>
      </c>
      <c r="G95" s="142">
        <f t="shared" si="1"/>
        <v>-0.47131075671032147</v>
      </c>
      <c r="N95" s="10"/>
      <c r="O95" s="75"/>
      <c r="P95" s="10"/>
      <c r="Q95" s="10"/>
    </row>
    <row r="96" spans="1:17">
      <c r="A96" s="32" t="s">
        <v>52</v>
      </c>
      <c r="B96" s="82">
        <v>-397.05198745429499</v>
      </c>
      <c r="C96" s="83">
        <v>20.4328669637442</v>
      </c>
      <c r="D96" s="84">
        <v>384.29197029024402</v>
      </c>
      <c r="E96" s="85">
        <v>27.551777984543399</v>
      </c>
      <c r="F96" s="282">
        <f t="shared" si="0"/>
        <v>-781.34395774453901</v>
      </c>
      <c r="G96" s="285">
        <f t="shared" ref="G96:G101" si="2">F96/(4*840)</f>
        <v>-0.23254284456682708</v>
      </c>
      <c r="N96" s="10"/>
      <c r="O96" s="75"/>
      <c r="P96" s="10"/>
      <c r="Q96" s="10"/>
    </row>
    <row r="97" spans="1:17">
      <c r="A97" s="35" t="s">
        <v>58</v>
      </c>
      <c r="B97" s="69">
        <v>-257.16527540329798</v>
      </c>
      <c r="C97" s="70">
        <v>49.902886994662602</v>
      </c>
      <c r="D97" s="71">
        <v>-180.471568302251</v>
      </c>
      <c r="E97" s="72">
        <v>21.9436239015788</v>
      </c>
      <c r="F97" s="283">
        <f t="shared" si="0"/>
        <v>-76.693707101046982</v>
      </c>
      <c r="G97" s="140">
        <f t="shared" si="2"/>
        <v>-2.2825508065787793E-2</v>
      </c>
      <c r="N97" s="10"/>
      <c r="O97" s="75"/>
      <c r="P97" s="10"/>
      <c r="Q97" s="10"/>
    </row>
    <row r="98" spans="1:17">
      <c r="A98" s="35" t="s">
        <v>64</v>
      </c>
      <c r="B98" s="69">
        <v>1898.0853049904099</v>
      </c>
      <c r="C98" s="70">
        <v>64.937765698260094</v>
      </c>
      <c r="D98" s="71">
        <v>3874.8315504789398</v>
      </c>
      <c r="E98" s="72">
        <v>19.1237470724666</v>
      </c>
      <c r="F98" s="283">
        <f t="shared" si="0"/>
        <v>-1976.7462454885299</v>
      </c>
      <c r="G98" s="140">
        <f t="shared" si="2"/>
        <v>-0.58831733496682437</v>
      </c>
      <c r="N98" s="10"/>
      <c r="O98" s="75"/>
      <c r="P98" s="10"/>
      <c r="Q98" s="10"/>
    </row>
    <row r="99" spans="1:17">
      <c r="A99" s="35" t="s">
        <v>70</v>
      </c>
      <c r="B99" s="69">
        <v>-495.65541531890602</v>
      </c>
      <c r="C99" s="70">
        <v>54.382299837048201</v>
      </c>
      <c r="D99" s="71">
        <v>-2006.7140826433899</v>
      </c>
      <c r="E99" s="72">
        <v>105.157620725556</v>
      </c>
      <c r="F99" s="283">
        <f t="shared" si="0"/>
        <v>1511.0586673244838</v>
      </c>
      <c r="G99" s="140">
        <f t="shared" si="2"/>
        <v>0.44971984146562022</v>
      </c>
      <c r="N99" s="10"/>
      <c r="O99" s="10"/>
      <c r="P99" s="10"/>
      <c r="Q99" s="10"/>
    </row>
    <row r="100" spans="1:17">
      <c r="A100" s="35" t="s">
        <v>76</v>
      </c>
      <c r="B100" s="69">
        <v>-1115.42523635924</v>
      </c>
      <c r="C100" s="70">
        <v>300.79800955847202</v>
      </c>
      <c r="D100" s="71">
        <v>794.04529502987896</v>
      </c>
      <c r="E100" s="72">
        <v>120.998919863618</v>
      </c>
      <c r="F100" s="283">
        <f t="shared" si="0"/>
        <v>-1909.4705313891191</v>
      </c>
      <c r="G100" s="140">
        <f t="shared" si="2"/>
        <v>-0.56829480100866636</v>
      </c>
      <c r="N100" s="10"/>
      <c r="O100" s="10"/>
      <c r="P100" s="10"/>
      <c r="Q100" s="10"/>
    </row>
    <row r="101" spans="1:17">
      <c r="A101" s="52" t="s">
        <v>82</v>
      </c>
      <c r="B101" s="76">
        <v>317.737521928859</v>
      </c>
      <c r="C101" s="77">
        <v>456.70421221562498</v>
      </c>
      <c r="D101" s="78">
        <v>-1316.0759267807</v>
      </c>
      <c r="E101" s="79">
        <v>98.499792902566497</v>
      </c>
      <c r="F101" s="284">
        <f t="shared" si="0"/>
        <v>1633.813448709559</v>
      </c>
      <c r="G101" s="142">
        <f t="shared" si="2"/>
        <v>0.48625400259213064</v>
      </c>
      <c r="N101" s="10"/>
      <c r="O101" s="10"/>
      <c r="P101" s="10"/>
      <c r="Q101" s="10"/>
    </row>
    <row r="102" spans="1:17">
      <c r="A102" s="38"/>
      <c r="B102" s="87"/>
      <c r="C102" s="13"/>
      <c r="D102" s="10"/>
      <c r="E102" s="10"/>
      <c r="F102" s="10"/>
      <c r="G102" s="10"/>
      <c r="H102" s="10"/>
      <c r="N102" s="10"/>
      <c r="O102" s="10"/>
      <c r="P102" s="10"/>
      <c r="Q102" s="10"/>
    </row>
    <row r="103" spans="1:17">
      <c r="N103" s="10"/>
      <c r="O103" s="10"/>
      <c r="P103" s="10"/>
      <c r="Q103" s="10"/>
    </row>
    <row r="107" spans="1:17">
      <c r="A107" s="37" t="s">
        <v>336</v>
      </c>
    </row>
    <row r="108" spans="1:17">
      <c r="A108" s="59" t="s">
        <v>220</v>
      </c>
      <c r="B108" s="106" t="s">
        <v>62</v>
      </c>
      <c r="C108" s="206" t="s">
        <v>64</v>
      </c>
      <c r="D108" s="204" t="s">
        <v>80</v>
      </c>
      <c r="E108" s="207" t="s">
        <v>82</v>
      </c>
    </row>
    <row r="109" spans="1:17">
      <c r="A109" s="28" t="s">
        <v>337</v>
      </c>
      <c r="B109" s="286"/>
      <c r="C109" s="287"/>
      <c r="D109" s="288"/>
      <c r="E109" s="289"/>
    </row>
    <row r="110" spans="1:17">
      <c r="A110" s="20" t="s">
        <v>338</v>
      </c>
      <c r="B110" s="290"/>
      <c r="C110" s="102"/>
      <c r="D110" s="291"/>
      <c r="E110" s="292"/>
    </row>
    <row r="111" spans="1:17">
      <c r="A111" s="20" t="s">
        <v>339</v>
      </c>
      <c r="B111" s="290"/>
      <c r="C111" s="102"/>
      <c r="D111" s="291"/>
      <c r="E111" s="292"/>
    </row>
    <row r="112" spans="1:17" ht="30">
      <c r="A112" s="293" t="s">
        <v>340</v>
      </c>
      <c r="B112" s="294"/>
      <c r="C112" s="104"/>
      <c r="D112" s="295"/>
      <c r="E112" s="296"/>
    </row>
    <row r="116" spans="1:6">
      <c r="A116" s="105" t="s">
        <v>152</v>
      </c>
      <c r="B116" s="106" t="s">
        <v>153</v>
      </c>
      <c r="C116" s="59" t="s">
        <v>154</v>
      </c>
      <c r="D116" s="107" t="s">
        <v>155</v>
      </c>
      <c r="E116" s="108" t="s">
        <v>156</v>
      </c>
      <c r="F116" s="109" t="s">
        <v>146</v>
      </c>
    </row>
    <row r="117" spans="1:6">
      <c r="A117" s="110" t="s">
        <v>50</v>
      </c>
      <c r="B117" s="111">
        <v>-8198.7440000000006</v>
      </c>
      <c r="C117" s="112">
        <v>-137</v>
      </c>
      <c r="D117" s="113">
        <v>8088.7619999999997</v>
      </c>
      <c r="E117" s="67">
        <f t="shared" ref="E117:E128" si="3">D117-B117</f>
        <v>16287.506000000001</v>
      </c>
      <c r="F117" s="114">
        <f t="shared" ref="F117:F122" si="4">E117/840</f>
        <v>19.389888095238096</v>
      </c>
    </row>
    <row r="118" spans="1:6">
      <c r="A118" s="115" t="s">
        <v>56</v>
      </c>
      <c r="B118" s="116">
        <v>-7783.0415999999996</v>
      </c>
      <c r="C118" s="117">
        <v>371</v>
      </c>
      <c r="D118" s="118">
        <v>8238.5051999999996</v>
      </c>
      <c r="E118" s="73">
        <f t="shared" si="3"/>
        <v>16021.5468</v>
      </c>
      <c r="F118" s="119">
        <f t="shared" si="4"/>
        <v>19.073270000000001</v>
      </c>
    </row>
    <row r="119" spans="1:6">
      <c r="A119" s="115" t="s">
        <v>62</v>
      </c>
      <c r="B119" s="116">
        <v>-7605.1148000000003</v>
      </c>
      <c r="C119" s="117">
        <v>591</v>
      </c>
      <c r="D119" s="118">
        <v>8080.2766000000001</v>
      </c>
      <c r="E119" s="73">
        <f t="shared" si="3"/>
        <v>15685.3914</v>
      </c>
      <c r="F119" s="119">
        <f t="shared" si="4"/>
        <v>18.673085</v>
      </c>
    </row>
    <row r="120" spans="1:6">
      <c r="A120" s="115" t="s">
        <v>68</v>
      </c>
      <c r="B120" s="116">
        <v>-12246.054</v>
      </c>
      <c r="C120" s="117">
        <v>932</v>
      </c>
      <c r="D120" s="118">
        <v>14125.642</v>
      </c>
      <c r="E120" s="73">
        <f t="shared" si="3"/>
        <v>26371.696</v>
      </c>
      <c r="F120" s="119">
        <f t="shared" si="4"/>
        <v>31.394876190476189</v>
      </c>
    </row>
    <row r="121" spans="1:6">
      <c r="A121" s="115" t="s">
        <v>74</v>
      </c>
      <c r="B121" s="116">
        <v>-12278.237999999999</v>
      </c>
      <c r="C121" s="117">
        <v>831</v>
      </c>
      <c r="D121" s="118">
        <v>13963.998</v>
      </c>
      <c r="E121" s="73">
        <f t="shared" si="3"/>
        <v>26242.235999999997</v>
      </c>
      <c r="F121" s="119">
        <f t="shared" si="4"/>
        <v>31.240757142857138</v>
      </c>
    </row>
    <row r="122" spans="1:6">
      <c r="A122" s="115" t="s">
        <v>80</v>
      </c>
      <c r="B122" s="116">
        <v>-12807.87</v>
      </c>
      <c r="C122" s="117">
        <v>236</v>
      </c>
      <c r="D122" s="118">
        <v>13264.386</v>
      </c>
      <c r="E122" s="73">
        <f t="shared" si="3"/>
        <v>26072.256000000001</v>
      </c>
      <c r="F122" s="119">
        <f t="shared" si="4"/>
        <v>31.038400000000003</v>
      </c>
    </row>
    <row r="123" spans="1:6">
      <c r="A123" s="115" t="s">
        <v>52</v>
      </c>
      <c r="B123" s="116">
        <v>-9014.7883999999995</v>
      </c>
      <c r="C123" s="117">
        <v>349</v>
      </c>
      <c r="D123" s="118">
        <v>9714.9982</v>
      </c>
      <c r="E123" s="73">
        <f t="shared" si="3"/>
        <v>18729.786599999999</v>
      </c>
      <c r="F123" s="119">
        <f t="shared" ref="F123:F128" si="5">E123/(4*840)</f>
        <v>5.5743412499999998</v>
      </c>
    </row>
    <row r="124" spans="1:6">
      <c r="A124" s="115" t="s">
        <v>58</v>
      </c>
      <c r="B124" s="116">
        <v>-9570.8230000000094</v>
      </c>
      <c r="C124" s="117">
        <v>-203</v>
      </c>
      <c r="D124" s="118">
        <v>9176.5010000000002</v>
      </c>
      <c r="E124" s="73">
        <f t="shared" si="3"/>
        <v>18747.324000000008</v>
      </c>
      <c r="F124" s="119">
        <f t="shared" si="5"/>
        <v>5.5795607142857166</v>
      </c>
    </row>
    <row r="125" spans="1:6">
      <c r="A125" s="115" t="s">
        <v>64</v>
      </c>
      <c r="B125" s="116">
        <v>-5350.8822</v>
      </c>
      <c r="C125" s="117">
        <v>3810</v>
      </c>
      <c r="D125" s="118">
        <v>12971.91</v>
      </c>
      <c r="E125" s="73">
        <f t="shared" si="3"/>
        <v>18322.7922</v>
      </c>
      <c r="F125" s="119">
        <f t="shared" si="5"/>
        <v>5.453211964285714</v>
      </c>
    </row>
    <row r="126" spans="1:6">
      <c r="A126" s="115" t="s">
        <v>70</v>
      </c>
      <c r="B126" s="116">
        <v>-13391.244000000001</v>
      </c>
      <c r="C126" s="117">
        <v>-1850</v>
      </c>
      <c r="D126" s="118">
        <v>9687.5985999999994</v>
      </c>
      <c r="E126" s="73">
        <f t="shared" si="3"/>
        <v>23078.8426</v>
      </c>
      <c r="F126" s="119">
        <f t="shared" si="5"/>
        <v>6.8687031547619046</v>
      </c>
    </row>
    <row r="127" spans="1:6">
      <c r="A127" s="115" t="s">
        <v>76</v>
      </c>
      <c r="B127" s="116">
        <v>-10428.046</v>
      </c>
      <c r="C127" s="117">
        <v>994</v>
      </c>
      <c r="D127" s="118">
        <v>12389.126</v>
      </c>
      <c r="E127" s="73">
        <f t="shared" si="3"/>
        <v>22817.171999999999</v>
      </c>
      <c r="F127" s="119">
        <f t="shared" si="5"/>
        <v>6.7908249999999999</v>
      </c>
    </row>
    <row r="128" spans="1:6">
      <c r="A128" s="120" t="s">
        <v>82</v>
      </c>
      <c r="B128" s="121">
        <v>-12497.074000000001</v>
      </c>
      <c r="C128" s="122">
        <v>-925</v>
      </c>
      <c r="D128" s="123">
        <v>10640.88</v>
      </c>
      <c r="E128" s="80">
        <f t="shared" si="3"/>
        <v>23137.953999999998</v>
      </c>
      <c r="F128" s="124">
        <f t="shared" si="5"/>
        <v>6.8862958333333326</v>
      </c>
    </row>
    <row r="132" spans="1:6" ht="51">
      <c r="B132" s="183"/>
      <c r="C132" s="184" t="s">
        <v>195</v>
      </c>
      <c r="D132" s="185" t="s">
        <v>196</v>
      </c>
      <c r="E132" s="125" t="s">
        <v>197</v>
      </c>
      <c r="F132" s="126" t="s">
        <v>198</v>
      </c>
    </row>
    <row r="133" spans="1:6">
      <c r="A133" s="503" t="s">
        <v>43</v>
      </c>
      <c r="B133" s="58" t="s">
        <v>50</v>
      </c>
      <c r="C133" s="186">
        <v>0.54783874836052504</v>
      </c>
      <c r="D133" s="113">
        <v>-283.58465149263901</v>
      </c>
      <c r="E133" s="505">
        <f>AVERAGE(C133:C135)</f>
        <v>0.54321127029794036</v>
      </c>
      <c r="F133" s="68">
        <f>100*(C133-$E$133)/$E$133</f>
        <v>0.85187445762062342</v>
      </c>
    </row>
    <row r="134" spans="1:6">
      <c r="A134" s="503"/>
      <c r="B134" s="35" t="s">
        <v>56</v>
      </c>
      <c r="C134" s="187">
        <v>0.53912998001210699</v>
      </c>
      <c r="D134" s="118">
        <v>533.63543127023502</v>
      </c>
      <c r="E134" s="505"/>
      <c r="F134" s="74">
        <f>100*(C134-$E$133)/$E$133</f>
        <v>-0.75132651124761596</v>
      </c>
    </row>
    <row r="135" spans="1:6">
      <c r="A135" s="503"/>
      <c r="B135" s="52" t="s">
        <v>62</v>
      </c>
      <c r="C135" s="188">
        <v>0.54266508252118895</v>
      </c>
      <c r="D135" s="123">
        <v>973.57887249403905</v>
      </c>
      <c r="E135" s="505"/>
      <c r="F135" s="81">
        <f>100*(C135-$E$133)/$E$133</f>
        <v>-0.1005479463730279</v>
      </c>
    </row>
    <row r="136" spans="1:6">
      <c r="A136" s="503"/>
      <c r="B136" s="32" t="s">
        <v>68</v>
      </c>
      <c r="C136" s="189">
        <v>0.44043387731366901</v>
      </c>
      <c r="D136" s="190">
        <v>928.51230712024403</v>
      </c>
      <c r="E136" s="505">
        <f>AVERAGE(C136:C138)</f>
        <v>0.43801303640007933</v>
      </c>
      <c r="F136" s="68">
        <f>100*(C136-$E$136)/$E$136</f>
        <v>0.55268695504726884</v>
      </c>
    </row>
    <row r="137" spans="1:6">
      <c r="A137" s="503"/>
      <c r="B137" s="35" t="s">
        <v>74</v>
      </c>
      <c r="C137" s="187">
        <v>0.438605204711421</v>
      </c>
      <c r="D137" s="118">
        <v>854.70283384566005</v>
      </c>
      <c r="E137" s="505"/>
      <c r="F137" s="74">
        <f>100*(C137-$E$136)/$E$136</f>
        <v>0.13519422074935564</v>
      </c>
    </row>
    <row r="138" spans="1:6">
      <c r="A138" s="503"/>
      <c r="B138" s="52" t="s">
        <v>80</v>
      </c>
      <c r="C138" s="188">
        <v>0.43500002717514802</v>
      </c>
      <c r="D138" s="123">
        <v>296.16098109018799</v>
      </c>
      <c r="E138" s="505"/>
      <c r="F138" s="81">
        <f>100*(C138-$E$136)/$E$136</f>
        <v>-0.68788117579661179</v>
      </c>
    </row>
    <row r="139" spans="1:6">
      <c r="A139" s="503" t="s">
        <v>44</v>
      </c>
      <c r="B139" s="58" t="s">
        <v>52</v>
      </c>
      <c r="C139" s="186">
        <v>0.31328032849969401</v>
      </c>
      <c r="D139" s="113">
        <v>325.37747517730497</v>
      </c>
      <c r="E139" s="505">
        <f>AVERAGE(C139:C141)</f>
        <v>0.31100116801971933</v>
      </c>
      <c r="F139" s="68">
        <f>100*(C139-$E$139)/$E$139</f>
        <v>0.73284627658702584</v>
      </c>
    </row>
    <row r="140" spans="1:6">
      <c r="A140" s="503"/>
      <c r="B140" s="35" t="s">
        <v>58</v>
      </c>
      <c r="C140" s="187">
        <v>0.31438088411295101</v>
      </c>
      <c r="D140" s="118">
        <v>-222.72073158246801</v>
      </c>
      <c r="E140" s="505"/>
      <c r="F140" s="74">
        <f>100*(C140-$E$139)/$E$139</f>
        <v>1.0867213505183309</v>
      </c>
    </row>
    <row r="141" spans="1:6">
      <c r="A141" s="503"/>
      <c r="B141" s="52" t="s">
        <v>64</v>
      </c>
      <c r="C141" s="188">
        <v>0.30534229144651298</v>
      </c>
      <c r="D141" s="123">
        <v>3722.8935992022102</v>
      </c>
      <c r="E141" s="505"/>
      <c r="F141" s="81">
        <f>100*(C141-$E$139)/$E$139</f>
        <v>-1.8195676271053567</v>
      </c>
    </row>
    <row r="142" spans="1:6">
      <c r="A142" s="503"/>
      <c r="B142" s="32" t="s">
        <v>70</v>
      </c>
      <c r="C142" s="189">
        <v>0.38633294543249103</v>
      </c>
      <c r="D142" s="190">
        <v>-1851.16479112243</v>
      </c>
      <c r="E142" s="505">
        <f>AVERAGE(C142:C144)</f>
        <v>0.38550070404257902</v>
      </c>
      <c r="F142" s="68">
        <f>100*(C142-$E$142)/$E$142</f>
        <v>0.21588582878958396</v>
      </c>
    </row>
    <row r="143" spans="1:6">
      <c r="A143" s="503"/>
      <c r="B143" s="35" t="s">
        <v>76</v>
      </c>
      <c r="C143" s="187">
        <v>0.38251032621174602</v>
      </c>
      <c r="D143" s="118">
        <v>945.065017401055</v>
      </c>
      <c r="E143" s="505"/>
      <c r="F143" s="74">
        <f>100*(C143-$E$142)/$E$142</f>
        <v>-0.77571267690932966</v>
      </c>
    </row>
    <row r="144" spans="1:6">
      <c r="A144" s="503"/>
      <c r="B144" s="52" t="s">
        <v>82</v>
      </c>
      <c r="C144" s="188">
        <v>0.38765884048350002</v>
      </c>
      <c r="D144" s="123">
        <v>-878.02181981049205</v>
      </c>
      <c r="E144" s="505"/>
      <c r="F144" s="81">
        <f>100*(C144-$E$142)/$E$142</f>
        <v>0.5598268481197457</v>
      </c>
    </row>
    <row r="148" spans="1:5">
      <c r="B148" s="504" t="s">
        <v>199</v>
      </c>
      <c r="C148" s="504"/>
      <c r="D148" s="504"/>
      <c r="E148" s="504"/>
    </row>
    <row r="149" spans="1:5">
      <c r="A149" s="127" t="s">
        <v>143</v>
      </c>
      <c r="B149" s="16" t="s">
        <v>200</v>
      </c>
      <c r="C149" s="191" t="s">
        <v>201</v>
      </c>
      <c r="D149" s="16" t="s">
        <v>202</v>
      </c>
      <c r="E149" s="128" t="s">
        <v>203</v>
      </c>
    </row>
    <row r="150" spans="1:5">
      <c r="A150" s="129" t="s">
        <v>204</v>
      </c>
      <c r="B150" s="33"/>
      <c r="C150" s="192"/>
      <c r="D150" s="33"/>
      <c r="E150" s="55"/>
    </row>
    <row r="151" spans="1:5">
      <c r="A151" s="131" t="s">
        <v>205</v>
      </c>
      <c r="B151" s="36"/>
      <c r="C151" s="193"/>
      <c r="D151" s="36"/>
      <c r="E151" s="56"/>
    </row>
    <row r="152" spans="1:5">
      <c r="A152" s="131" t="s">
        <v>206</v>
      </c>
      <c r="B152" s="36"/>
      <c r="C152" s="193"/>
      <c r="D152" s="36"/>
      <c r="E152" s="56"/>
    </row>
    <row r="153" spans="1:5">
      <c r="A153" s="131" t="s">
        <v>207</v>
      </c>
      <c r="B153" s="36"/>
      <c r="C153" s="193"/>
      <c r="D153" s="36"/>
      <c r="E153" s="56"/>
    </row>
    <row r="154" spans="1:5">
      <c r="A154" s="131" t="s">
        <v>208</v>
      </c>
      <c r="B154" s="36"/>
      <c r="C154" s="193"/>
      <c r="D154" s="36"/>
      <c r="E154" s="56"/>
    </row>
    <row r="155" spans="1:5">
      <c r="A155" s="132" t="s">
        <v>209</v>
      </c>
      <c r="B155" s="53"/>
      <c r="C155" s="194"/>
      <c r="D155" s="53"/>
      <c r="E155" s="57"/>
    </row>
    <row r="156" spans="1:5">
      <c r="A156" s="195" t="s">
        <v>210</v>
      </c>
      <c r="B156" s="60"/>
      <c r="C156" s="196"/>
      <c r="D156" s="61"/>
      <c r="E156" s="197"/>
    </row>
    <row r="157" spans="1:5">
      <c r="A157" s="131" t="s">
        <v>211</v>
      </c>
      <c r="B157" s="36"/>
      <c r="C157" s="193"/>
      <c r="D157" s="36"/>
      <c r="E157" s="56"/>
    </row>
    <row r="158" spans="1:5">
      <c r="A158" s="131" t="s">
        <v>212</v>
      </c>
      <c r="B158" s="36"/>
      <c r="C158" s="193"/>
      <c r="D158" s="36"/>
      <c r="E158" s="56"/>
    </row>
    <row r="159" spans="1:5">
      <c r="A159" s="131" t="s">
        <v>213</v>
      </c>
      <c r="B159" s="36"/>
      <c r="C159" s="193"/>
      <c r="D159" s="36"/>
      <c r="E159" s="56"/>
    </row>
    <row r="160" spans="1:5">
      <c r="A160" s="131" t="s">
        <v>214</v>
      </c>
      <c r="B160" s="36"/>
      <c r="C160" s="193"/>
      <c r="D160" s="36"/>
      <c r="E160" s="56"/>
    </row>
    <row r="161" spans="1:9">
      <c r="A161" s="198" t="s">
        <v>215</v>
      </c>
      <c r="B161" s="199"/>
      <c r="C161" s="200"/>
      <c r="D161" s="201"/>
      <c r="E161" s="202"/>
    </row>
    <row r="162" spans="1:9">
      <c r="A162" s="129" t="s">
        <v>216</v>
      </c>
      <c r="B162" s="33"/>
      <c r="C162" s="192"/>
      <c r="D162" s="33"/>
      <c r="E162" s="55"/>
    </row>
    <row r="163" spans="1:9">
      <c r="A163" s="131" t="s">
        <v>217</v>
      </c>
      <c r="B163" s="36"/>
      <c r="C163" s="193"/>
      <c r="D163" s="36"/>
      <c r="E163" s="56"/>
    </row>
    <row r="164" spans="1:9">
      <c r="A164" s="132" t="s">
        <v>218</v>
      </c>
      <c r="B164" s="53"/>
      <c r="C164" s="194"/>
      <c r="D164" s="53"/>
      <c r="E164" s="57"/>
    </row>
    <row r="165" spans="1:9">
      <c r="A165" s="203"/>
      <c r="B165" s="13"/>
      <c r="C165" s="13"/>
      <c r="D165" s="47"/>
      <c r="E165" s="47"/>
    </row>
    <row r="166" spans="1:9">
      <c r="A166" s="203"/>
      <c r="B166" s="13"/>
      <c r="C166" s="13"/>
      <c r="D166" s="47"/>
      <c r="E166" s="47"/>
    </row>
    <row r="167" spans="1:9">
      <c r="A167" s="203"/>
      <c r="B167" s="13"/>
      <c r="C167" s="13"/>
      <c r="D167" s="47"/>
      <c r="E167" s="47"/>
    </row>
    <row r="168" spans="1:9">
      <c r="A168" s="37" t="s">
        <v>219</v>
      </c>
    </row>
    <row r="169" spans="1:9">
      <c r="D169" s="502" t="s">
        <v>143</v>
      </c>
      <c r="E169" s="502"/>
      <c r="F169" s="502"/>
      <c r="G169" s="502"/>
      <c r="H169" s="502"/>
      <c r="I169" s="502"/>
    </row>
    <row r="170" spans="1:9">
      <c r="D170" s="204" t="s">
        <v>50</v>
      </c>
      <c r="E170" s="205" t="s">
        <v>56</v>
      </c>
      <c r="F170" s="206" t="s">
        <v>62</v>
      </c>
      <c r="G170" s="204" t="s">
        <v>68</v>
      </c>
      <c r="H170" s="205" t="s">
        <v>74</v>
      </c>
      <c r="I170" s="207" t="s">
        <v>80</v>
      </c>
    </row>
    <row r="171" spans="1:9">
      <c r="B171" s="503" t="s">
        <v>220</v>
      </c>
      <c r="C171" s="17" t="s">
        <v>50</v>
      </c>
      <c r="D171" s="208">
        <v>3839.4014999999999</v>
      </c>
      <c r="E171" s="161">
        <v>1536.23038</v>
      </c>
      <c r="F171" s="209">
        <v>1556.7577200000001</v>
      </c>
      <c r="G171" s="164">
        <v>19.267500000000599</v>
      </c>
      <c r="H171" s="161">
        <v>-6.0847399999992202</v>
      </c>
      <c r="I171" s="162">
        <v>-10.6515319999999</v>
      </c>
    </row>
    <row r="172" spans="1:9">
      <c r="B172" s="503"/>
      <c r="C172" s="20" t="s">
        <v>56</v>
      </c>
      <c r="D172" s="170">
        <v>1538.7769000000001</v>
      </c>
      <c r="E172" s="210">
        <v>3774.1799799999999</v>
      </c>
      <c r="F172" s="211">
        <v>1532.45832</v>
      </c>
      <c r="G172" s="170">
        <v>-5.2498799999997301</v>
      </c>
      <c r="H172" s="167">
        <v>11.196580000000599</v>
      </c>
      <c r="I172" s="168">
        <v>-1.49337999999995</v>
      </c>
    </row>
    <row r="173" spans="1:9">
      <c r="B173" s="503"/>
      <c r="C173" s="25" t="s">
        <v>62</v>
      </c>
      <c r="D173" s="176">
        <v>1543.4707000000001</v>
      </c>
      <c r="E173" s="173">
        <v>1534.8735799999999</v>
      </c>
      <c r="F173" s="212">
        <v>3810.93732</v>
      </c>
      <c r="G173" s="176">
        <v>2.4280000000317201E-2</v>
      </c>
      <c r="H173" s="173">
        <v>-20.8657199999986</v>
      </c>
      <c r="I173" s="174">
        <v>23.63166</v>
      </c>
    </row>
    <row r="174" spans="1:9">
      <c r="B174" s="503"/>
      <c r="C174" s="28" t="s">
        <v>68</v>
      </c>
      <c r="D174" s="213">
        <v>73.610019999999906</v>
      </c>
      <c r="E174" s="214">
        <v>-134.40734</v>
      </c>
      <c r="F174" s="215">
        <v>106.36272</v>
      </c>
      <c r="G174" s="216">
        <v>3095.1252800000002</v>
      </c>
      <c r="H174" s="214">
        <v>-569.59522000000004</v>
      </c>
      <c r="I174" s="217">
        <v>-555.02215999999999</v>
      </c>
    </row>
    <row r="175" spans="1:9">
      <c r="B175" s="503"/>
      <c r="C175" s="20" t="s">
        <v>74</v>
      </c>
      <c r="D175" s="170">
        <v>84.100359999999995</v>
      </c>
      <c r="E175" s="167">
        <v>31.786160000000098</v>
      </c>
      <c r="F175" s="211">
        <v>-139.61498</v>
      </c>
      <c r="G175" s="170">
        <v>-553.26454000000001</v>
      </c>
      <c r="H175" s="210">
        <v>3076.1235200000001</v>
      </c>
      <c r="I175" s="168">
        <v>-570.74357999999995</v>
      </c>
    </row>
    <row r="176" spans="1:9">
      <c r="B176" s="503"/>
      <c r="C176" s="25" t="s">
        <v>80</v>
      </c>
      <c r="D176" s="176">
        <v>-155.65196</v>
      </c>
      <c r="E176" s="173">
        <v>83.629140000000007</v>
      </c>
      <c r="F176" s="218">
        <v>37.977119999999999</v>
      </c>
      <c r="G176" s="176">
        <v>-564.95767999999998</v>
      </c>
      <c r="H176" s="173">
        <v>-537.83550000000002</v>
      </c>
      <c r="I176" s="219">
        <v>3050.7204200000001</v>
      </c>
    </row>
    <row r="177" spans="1:9">
      <c r="B177" s="13"/>
      <c r="C177" s="203"/>
      <c r="D177" s="220"/>
      <c r="E177" s="220"/>
      <c r="F177" s="220"/>
      <c r="G177" s="220"/>
      <c r="H177" s="220"/>
      <c r="I177" s="220"/>
    </row>
    <row r="178" spans="1:9">
      <c r="D178" s="220"/>
      <c r="E178" s="220"/>
      <c r="F178" s="220"/>
      <c r="G178" s="220"/>
      <c r="H178" s="220"/>
      <c r="I178" s="220"/>
    </row>
    <row r="179" spans="1:9">
      <c r="D179" s="502" t="s">
        <v>143</v>
      </c>
      <c r="E179" s="502"/>
      <c r="F179" s="502"/>
      <c r="G179" s="502"/>
      <c r="H179" s="502"/>
      <c r="I179" s="502"/>
    </row>
    <row r="180" spans="1:9">
      <c r="D180" s="155" t="s">
        <v>52</v>
      </c>
      <c r="E180" s="156" t="s">
        <v>58</v>
      </c>
      <c r="F180" s="221" t="s">
        <v>64</v>
      </c>
      <c r="G180" s="155" t="s">
        <v>70</v>
      </c>
      <c r="H180" s="156" t="s">
        <v>76</v>
      </c>
      <c r="I180" s="157" t="s">
        <v>82</v>
      </c>
    </row>
    <row r="181" spans="1:9">
      <c r="B181" s="503" t="s">
        <v>220</v>
      </c>
      <c r="C181" s="17" t="s">
        <v>52</v>
      </c>
      <c r="D181" s="208">
        <v>2192.2832600000002</v>
      </c>
      <c r="E181" s="161">
        <v>327.19058999999999</v>
      </c>
      <c r="F181" s="209">
        <v>346.56340000000102</v>
      </c>
      <c r="G181" s="164">
        <v>-12.3328000000004</v>
      </c>
      <c r="H181" s="161">
        <v>-18.034879999999902</v>
      </c>
      <c r="I181" s="162">
        <v>21.071840000000599</v>
      </c>
    </row>
    <row r="182" spans="1:9">
      <c r="B182" s="503"/>
      <c r="C182" s="20" t="s">
        <v>58</v>
      </c>
      <c r="D182" s="170">
        <v>326.43752000000001</v>
      </c>
      <c r="E182" s="210">
        <v>2186.7967119999998</v>
      </c>
      <c r="F182" s="211">
        <v>348.58019999999902</v>
      </c>
      <c r="G182" s="170">
        <v>-9.8802000000007393</v>
      </c>
      <c r="H182" s="167">
        <v>-2.2481399999993501</v>
      </c>
      <c r="I182" s="168">
        <v>-6.3785399999992496</v>
      </c>
    </row>
    <row r="183" spans="1:9">
      <c r="B183" s="503"/>
      <c r="C183" s="25" t="s">
        <v>64</v>
      </c>
      <c r="D183" s="176">
        <v>326.05959999999999</v>
      </c>
      <c r="E183" s="173">
        <v>311.16489999999999</v>
      </c>
      <c r="F183" s="212">
        <v>2161.9204</v>
      </c>
      <c r="G183" s="176">
        <v>-25.214399999999198</v>
      </c>
      <c r="H183" s="173">
        <v>9.0671000000008899</v>
      </c>
      <c r="I183" s="174">
        <v>5.8316600000002801</v>
      </c>
    </row>
    <row r="184" spans="1:9">
      <c r="B184" s="503"/>
      <c r="C184" s="28" t="s">
        <v>70</v>
      </c>
      <c r="D184" s="213">
        <v>69.0606200000001</v>
      </c>
      <c r="E184" s="214">
        <v>114.240532</v>
      </c>
      <c r="F184" s="215">
        <v>-181.633000000002</v>
      </c>
      <c r="G184" s="216">
        <v>2716.7697800000001</v>
      </c>
      <c r="H184" s="214">
        <v>283.41748000000001</v>
      </c>
      <c r="I184" s="217">
        <v>-12.003039999999601</v>
      </c>
    </row>
    <row r="185" spans="1:9">
      <c r="B185" s="503"/>
      <c r="C185" s="20" t="s">
        <v>76</v>
      </c>
      <c r="D185" s="170">
        <v>-201.82232999999999</v>
      </c>
      <c r="E185" s="167">
        <v>50.571132000000098</v>
      </c>
      <c r="F185" s="211">
        <v>123.396999999998</v>
      </c>
      <c r="G185" s="170">
        <v>-26.728800000000302</v>
      </c>
      <c r="H185" s="210">
        <v>2675.8948799999998</v>
      </c>
      <c r="I185" s="168">
        <v>286.52305999999999</v>
      </c>
    </row>
    <row r="186" spans="1:9">
      <c r="B186" s="503"/>
      <c r="C186" s="25" t="s">
        <v>82</v>
      </c>
      <c r="D186" s="176">
        <v>120.42392</v>
      </c>
      <c r="E186" s="173">
        <v>-208.67026799999999</v>
      </c>
      <c r="F186" s="218">
        <v>96.932599999997805</v>
      </c>
      <c r="G186" s="176">
        <v>294.327</v>
      </c>
      <c r="H186" s="173">
        <v>-7.1387799999994304</v>
      </c>
      <c r="I186" s="219">
        <v>2704.81828</v>
      </c>
    </row>
    <row r="188" spans="1:9">
      <c r="A188" s="37" t="s">
        <v>222</v>
      </c>
    </row>
    <row r="189" spans="1:9">
      <c r="C189" s="222"/>
      <c r="D189" s="108" t="s">
        <v>223</v>
      </c>
      <c r="E189" s="158" t="s">
        <v>224</v>
      </c>
      <c r="F189" s="108" t="s">
        <v>225</v>
      </c>
      <c r="G189" s="158" t="s">
        <v>226</v>
      </c>
      <c r="H189" s="108" t="s">
        <v>226</v>
      </c>
      <c r="I189" s="109" t="s">
        <v>227</v>
      </c>
    </row>
    <row r="190" spans="1:9">
      <c r="B190" s="503" t="s">
        <v>220</v>
      </c>
      <c r="C190" s="159" t="s">
        <v>223</v>
      </c>
      <c r="D190" s="223">
        <v>1529.10232</v>
      </c>
      <c r="E190" s="163">
        <v>-1.4771399999999599</v>
      </c>
      <c r="F190" s="67">
        <v>12.228980000000099</v>
      </c>
      <c r="G190" s="163">
        <v>-8.19397200000002</v>
      </c>
      <c r="H190" s="67">
        <v>-19.660780000000301</v>
      </c>
      <c r="I190" s="114">
        <v>17.896740000000101</v>
      </c>
    </row>
    <row r="191" spans="1:9">
      <c r="B191" s="503"/>
      <c r="C191" s="165" t="s">
        <v>224</v>
      </c>
      <c r="D191" s="73">
        <v>-27.78004</v>
      </c>
      <c r="E191" s="224">
        <v>1504.4793199999999</v>
      </c>
      <c r="F191" s="73">
        <v>1.58235999999999</v>
      </c>
      <c r="G191" s="169">
        <v>19.369316000000001</v>
      </c>
      <c r="H191" s="73">
        <v>-21.446079999999998</v>
      </c>
      <c r="I191" s="119">
        <v>-9.3653999999998501</v>
      </c>
    </row>
    <row r="192" spans="1:9">
      <c r="B192" s="503"/>
      <c r="C192" s="165" t="s">
        <v>225</v>
      </c>
      <c r="D192" s="73">
        <v>5.6147200000002604</v>
      </c>
      <c r="E192" s="169">
        <v>-13.1875579999999</v>
      </c>
      <c r="F192" s="225">
        <v>651.92517999999995</v>
      </c>
      <c r="G192" s="169">
        <v>1.27383600000002</v>
      </c>
      <c r="H192" s="73">
        <v>-17.258940000000202</v>
      </c>
      <c r="I192" s="119">
        <v>-8.5615199999999696</v>
      </c>
    </row>
    <row r="193" spans="2:9">
      <c r="B193" s="503"/>
      <c r="C193" s="165" t="s">
        <v>228</v>
      </c>
      <c r="D193" s="73">
        <v>-1.75113999999996</v>
      </c>
      <c r="E193" s="226">
        <v>314.910078</v>
      </c>
      <c r="F193" s="73">
        <v>-2.3960200000001399</v>
      </c>
      <c r="G193" s="224">
        <v>2656.02115</v>
      </c>
      <c r="H193" s="73">
        <v>-5.3923600000000498</v>
      </c>
      <c r="I193" s="119">
        <v>-14.5957000000001</v>
      </c>
    </row>
    <row r="194" spans="2:9">
      <c r="B194" s="503"/>
      <c r="C194" s="165" t="s">
        <v>226</v>
      </c>
      <c r="D194" s="227">
        <v>-327.05988000000099</v>
      </c>
      <c r="E194" s="169">
        <v>22.761524000000101</v>
      </c>
      <c r="F194" s="73">
        <v>6.5227999999999602</v>
      </c>
      <c r="G194" s="169">
        <v>4.5257440000000697</v>
      </c>
      <c r="H194" s="225">
        <v>2635.3295199999998</v>
      </c>
      <c r="I194" s="119">
        <v>-5.6119800000000204</v>
      </c>
    </row>
    <row r="195" spans="2:9">
      <c r="B195" s="503"/>
      <c r="C195" s="171" t="s">
        <v>227</v>
      </c>
      <c r="D195" s="80">
        <v>13.9518440000002</v>
      </c>
      <c r="E195" s="175">
        <v>-7.6466799999999502</v>
      </c>
      <c r="F195" s="80">
        <v>18.047319999999701</v>
      </c>
      <c r="G195" s="175">
        <v>-2.7298060000000399</v>
      </c>
      <c r="H195" s="80">
        <v>-2.3542599999998401</v>
      </c>
      <c r="I195" s="228">
        <v>2900.3807200000001</v>
      </c>
    </row>
    <row r="196" spans="2:9">
      <c r="C196" s="222"/>
      <c r="D196" s="220"/>
      <c r="E196" s="220"/>
      <c r="F196" s="220"/>
      <c r="G196" s="220"/>
      <c r="H196" s="220"/>
      <c r="I196" s="220"/>
    </row>
    <row r="197" spans="2:9">
      <c r="C197" s="222"/>
      <c r="D197" s="220"/>
      <c r="E197" s="220"/>
      <c r="F197" s="220"/>
      <c r="G197" s="220"/>
      <c r="H197" s="220"/>
      <c r="I197" s="220"/>
    </row>
    <row r="198" spans="2:9">
      <c r="C198" s="222"/>
      <c r="D198" s="229" t="s">
        <v>229</v>
      </c>
      <c r="E198" s="108" t="s">
        <v>230</v>
      </c>
      <c r="F198" s="158" t="s">
        <v>231</v>
      </c>
      <c r="G198" s="108" t="s">
        <v>232</v>
      </c>
      <c r="H198" s="158" t="s">
        <v>232</v>
      </c>
      <c r="I198" s="108" t="s">
        <v>233</v>
      </c>
    </row>
    <row r="199" spans="2:9">
      <c r="B199" s="503" t="s">
        <v>220</v>
      </c>
      <c r="C199" s="230" t="s">
        <v>229</v>
      </c>
      <c r="D199" s="231">
        <v>1233.6156000000001</v>
      </c>
      <c r="E199" s="91">
        <v>7.9933999999993803</v>
      </c>
      <c r="F199" s="232">
        <v>-5.9150599999998104</v>
      </c>
      <c r="G199" s="91">
        <v>-3.0754000000015398</v>
      </c>
      <c r="H199" s="232">
        <v>35.025199999999998</v>
      </c>
      <c r="I199" s="91">
        <v>-14.271999999999901</v>
      </c>
    </row>
    <row r="200" spans="2:9">
      <c r="B200" s="503"/>
      <c r="C200" s="233" t="s">
        <v>230</v>
      </c>
      <c r="D200" s="118">
        <v>11.0917999999995</v>
      </c>
      <c r="E200" s="225">
        <v>1229.9099000000001</v>
      </c>
      <c r="F200" s="169">
        <v>-11.915940000000001</v>
      </c>
      <c r="G200" s="73">
        <v>-21.337200000002198</v>
      </c>
      <c r="H200" s="169">
        <v>-8.3907399999999903</v>
      </c>
      <c r="I200" s="73">
        <v>19.179400000000001</v>
      </c>
    </row>
    <row r="201" spans="2:9">
      <c r="B201" s="503"/>
      <c r="C201" s="233" t="s">
        <v>231</v>
      </c>
      <c r="D201" s="118">
        <v>0.36700000000041699</v>
      </c>
      <c r="E201" s="73">
        <v>1.6675999999995399</v>
      </c>
      <c r="F201" s="224">
        <v>983.54903999999999</v>
      </c>
      <c r="G201" s="73">
        <v>-8.8618000000024004</v>
      </c>
      <c r="H201" s="169">
        <v>13.4339999999999</v>
      </c>
      <c r="I201" s="73">
        <v>-2.8975999999995601</v>
      </c>
    </row>
    <row r="202" spans="2:9">
      <c r="B202" s="503"/>
      <c r="C202" s="233" t="s">
        <v>234</v>
      </c>
      <c r="D202" s="118">
        <v>3.2994000000003298</v>
      </c>
      <c r="E202" s="227">
        <v>-12.346799999999799</v>
      </c>
      <c r="F202" s="169">
        <v>-20.721400000000099</v>
      </c>
      <c r="G202" s="225">
        <v>3939.3989999999999</v>
      </c>
      <c r="H202" s="169">
        <v>12.2376800000001</v>
      </c>
      <c r="I202" s="73">
        <v>-5.2721999999996596</v>
      </c>
    </row>
    <row r="203" spans="2:9">
      <c r="B203" s="503"/>
      <c r="C203" s="233" t="s">
        <v>232</v>
      </c>
      <c r="D203" s="234">
        <v>9.4317999999996101</v>
      </c>
      <c r="E203" s="73">
        <v>8.7750000000003201</v>
      </c>
      <c r="F203" s="169">
        <v>5.01512000000002</v>
      </c>
      <c r="G203" s="73">
        <v>24.4789999999971</v>
      </c>
      <c r="H203" s="224">
        <v>3972.90524</v>
      </c>
      <c r="I203" s="73">
        <v>4.9888000000005404</v>
      </c>
    </row>
    <row r="204" spans="2:9">
      <c r="B204" s="503"/>
      <c r="C204" s="235" t="s">
        <v>233</v>
      </c>
      <c r="D204" s="123">
        <v>1.3104000000003</v>
      </c>
      <c r="E204" s="80">
        <v>12.964399999998699</v>
      </c>
      <c r="F204" s="175">
        <v>2.8611000000000799</v>
      </c>
      <c r="G204" s="80">
        <v>-7.0600000000922605E-2</v>
      </c>
      <c r="H204" s="175">
        <v>-6.31496000000016</v>
      </c>
      <c r="I204" s="236">
        <v>2350.7464</v>
      </c>
    </row>
    <row r="206" spans="2:9">
      <c r="D206" s="502" t="s">
        <v>143</v>
      </c>
      <c r="E206" s="502"/>
      <c r="F206" s="502"/>
      <c r="G206" s="502"/>
      <c r="H206" s="502"/>
      <c r="I206" s="502"/>
    </row>
    <row r="207" spans="2:9">
      <c r="C207" s="222"/>
      <c r="D207" s="127" t="s">
        <v>50</v>
      </c>
      <c r="E207" s="16" t="s">
        <v>56</v>
      </c>
      <c r="F207" s="128" t="s">
        <v>62</v>
      </c>
      <c r="G207" s="191" t="s">
        <v>68</v>
      </c>
      <c r="H207" s="16" t="s">
        <v>74</v>
      </c>
      <c r="I207" s="128" t="s">
        <v>80</v>
      </c>
    </row>
    <row r="208" spans="2:9">
      <c r="B208" s="503" t="s">
        <v>220</v>
      </c>
      <c r="C208" s="159" t="s">
        <v>223</v>
      </c>
      <c r="D208" s="113">
        <v>1547.2966799999999</v>
      </c>
      <c r="E208" s="67">
        <v>-750.23173999999995</v>
      </c>
      <c r="F208" s="114">
        <v>-745.30664000000002</v>
      </c>
      <c r="G208" s="163">
        <v>26.877559999999999</v>
      </c>
      <c r="H208" s="67">
        <v>-0.63632000000075095</v>
      </c>
      <c r="I208" s="114">
        <v>-14.826940000000199</v>
      </c>
    </row>
    <row r="209" spans="2:9">
      <c r="B209" s="503"/>
      <c r="C209" s="165" t="s">
        <v>224</v>
      </c>
      <c r="D209" s="118">
        <v>40.829952000000098</v>
      </c>
      <c r="E209" s="73">
        <v>1285.75406</v>
      </c>
      <c r="F209" s="119">
        <v>-1312.1095399999999</v>
      </c>
      <c r="G209" s="169">
        <v>-5.2066800000002296</v>
      </c>
      <c r="H209" s="73">
        <v>13.067760000000099</v>
      </c>
      <c r="I209" s="119">
        <v>-11.7275799999999</v>
      </c>
    </row>
    <row r="210" spans="2:9">
      <c r="B210" s="503"/>
      <c r="C210" s="165" t="s">
        <v>225</v>
      </c>
      <c r="D210" s="118">
        <v>-1.1149000000001501</v>
      </c>
      <c r="E210" s="73">
        <v>-18.4819600000002</v>
      </c>
      <c r="F210" s="119">
        <v>-7.9125399999996899</v>
      </c>
      <c r="G210" s="169">
        <v>656.06334000000004</v>
      </c>
      <c r="H210" s="73">
        <v>644.69232</v>
      </c>
      <c r="I210" s="119">
        <v>638.31164000000001</v>
      </c>
    </row>
    <row r="211" spans="2:9">
      <c r="B211" s="503"/>
      <c r="C211" s="165" t="s">
        <v>228</v>
      </c>
      <c r="D211" s="118">
        <v>-15.0558800000001</v>
      </c>
      <c r="E211" s="73">
        <v>122.84358</v>
      </c>
      <c r="F211" s="119">
        <v>-149.17702</v>
      </c>
      <c r="G211" s="169">
        <v>-2548.4120600000001</v>
      </c>
      <c r="H211" s="73">
        <v>2160.6831200000001</v>
      </c>
      <c r="I211" s="119">
        <v>393.71976000000001</v>
      </c>
    </row>
    <row r="212" spans="2:9">
      <c r="B212" s="503"/>
      <c r="C212" s="165" t="s">
        <v>226</v>
      </c>
      <c r="D212" s="118">
        <v>-179.55866</v>
      </c>
      <c r="E212" s="73">
        <v>74.515739999999695</v>
      </c>
      <c r="F212" s="119">
        <v>67.399440000000297</v>
      </c>
      <c r="G212" s="169">
        <v>-1005.5492819999999</v>
      </c>
      <c r="H212" s="73">
        <v>-1691.9763600000001</v>
      </c>
      <c r="I212" s="119">
        <v>2709.2365199999999</v>
      </c>
    </row>
    <row r="213" spans="2:9">
      <c r="B213" s="503"/>
      <c r="C213" s="171" t="s">
        <v>227</v>
      </c>
      <c r="D213" s="123">
        <v>2858.1956799999998</v>
      </c>
      <c r="E213" s="80">
        <v>2773.3434600000001</v>
      </c>
      <c r="F213" s="124">
        <v>2786.96506</v>
      </c>
      <c r="G213" s="175">
        <v>15.5697600000001</v>
      </c>
      <c r="H213" s="80">
        <v>-5.6356400000007598</v>
      </c>
      <c r="I213" s="124">
        <v>16.9630000000001</v>
      </c>
    </row>
    <row r="214" spans="2:9">
      <c r="C214" s="222"/>
      <c r="D214" s="220"/>
      <c r="E214" s="220"/>
      <c r="F214" s="220"/>
      <c r="G214" s="220"/>
      <c r="H214" s="220"/>
      <c r="I214" s="220"/>
    </row>
    <row r="215" spans="2:9">
      <c r="C215" s="222"/>
      <c r="D215" s="502" t="s">
        <v>143</v>
      </c>
      <c r="E215" s="502"/>
      <c r="F215" s="502"/>
      <c r="G215" s="502"/>
      <c r="H215" s="502"/>
      <c r="I215" s="502"/>
    </row>
    <row r="216" spans="2:9">
      <c r="C216" s="222"/>
      <c r="D216" s="237" t="s">
        <v>52</v>
      </c>
      <c r="E216" s="238" t="s">
        <v>58</v>
      </c>
      <c r="F216" s="239" t="s">
        <v>64</v>
      </c>
      <c r="G216" s="237" t="s">
        <v>70</v>
      </c>
      <c r="H216" s="238" t="s">
        <v>76</v>
      </c>
      <c r="I216" s="240" t="s">
        <v>82</v>
      </c>
    </row>
    <row r="217" spans="2:9">
      <c r="B217" s="503" t="s">
        <v>220</v>
      </c>
      <c r="C217" s="159" t="s">
        <v>229</v>
      </c>
      <c r="D217" s="113">
        <v>656.98032000000001</v>
      </c>
      <c r="E217" s="67">
        <v>-1254.4047599999999</v>
      </c>
      <c r="F217" s="114">
        <v>610.31160000000102</v>
      </c>
      <c r="G217" s="163">
        <v>-15.4786000000001</v>
      </c>
      <c r="H217" s="67">
        <v>-6.7225799999998799</v>
      </c>
      <c r="I217" s="114">
        <v>64.088040000000603</v>
      </c>
    </row>
    <row r="218" spans="2:9">
      <c r="B218" s="503"/>
      <c r="C218" s="165" t="s">
        <v>230</v>
      </c>
      <c r="D218" s="118">
        <v>1050.3739399999999</v>
      </c>
      <c r="E218" s="73">
        <v>3.5850800000000902</v>
      </c>
      <c r="F218" s="119">
        <v>-1048.5486000000001</v>
      </c>
      <c r="G218" s="169">
        <v>29.951199999999702</v>
      </c>
      <c r="H218" s="73">
        <v>-13.95008</v>
      </c>
      <c r="I218" s="119">
        <v>30.3799000000006</v>
      </c>
    </row>
    <row r="219" spans="2:9">
      <c r="B219" s="503"/>
      <c r="C219" s="165" t="s">
        <v>231</v>
      </c>
      <c r="D219" s="118">
        <v>-16.540420000000001</v>
      </c>
      <c r="E219" s="73">
        <v>3.6732400000001899</v>
      </c>
      <c r="F219" s="119">
        <v>4.8855999999986999</v>
      </c>
      <c r="G219" s="169">
        <v>990.70791999999994</v>
      </c>
      <c r="H219" s="73">
        <v>971.40222000000097</v>
      </c>
      <c r="I219" s="119">
        <v>1018.23122</v>
      </c>
    </row>
    <row r="220" spans="2:9">
      <c r="B220" s="503"/>
      <c r="C220" s="165" t="s">
        <v>234</v>
      </c>
      <c r="D220" s="118">
        <v>-269.51723700000002</v>
      </c>
      <c r="E220" s="73">
        <v>4.0752400000002096</v>
      </c>
      <c r="F220" s="119">
        <v>261.10080000000102</v>
      </c>
      <c r="G220" s="169">
        <v>-2295.3200000000002</v>
      </c>
      <c r="H220" s="73">
        <v>2315.8228199999999</v>
      </c>
      <c r="I220" s="119">
        <v>-6.0519799999998396</v>
      </c>
    </row>
    <row r="221" spans="2:9">
      <c r="B221" s="503"/>
      <c r="C221" s="165" t="s">
        <v>232</v>
      </c>
      <c r="D221" s="118">
        <v>180.9198188</v>
      </c>
      <c r="E221" s="73">
        <v>-303.85147999999998</v>
      </c>
      <c r="F221" s="119">
        <v>157.373600000002</v>
      </c>
      <c r="G221" s="169">
        <v>-1403.3786</v>
      </c>
      <c r="H221" s="73">
        <v>-1294.3410799999999</v>
      </c>
      <c r="I221" s="119">
        <v>2737.8032199999998</v>
      </c>
    </row>
    <row r="222" spans="2:9">
      <c r="B222" s="503"/>
      <c r="C222" s="171" t="s">
        <v>233</v>
      </c>
      <c r="D222" s="123">
        <v>1627.6515400000001</v>
      </c>
      <c r="E222" s="80">
        <v>1646.54304</v>
      </c>
      <c r="F222" s="124">
        <v>1609.5914</v>
      </c>
      <c r="G222" s="175">
        <v>20.490400000001301</v>
      </c>
      <c r="H222" s="80">
        <v>2.2679599999996798</v>
      </c>
      <c r="I222" s="124">
        <v>37.111860000000902</v>
      </c>
    </row>
    <row r="225" spans="1:5" ht="31.5">
      <c r="A225" s="297" t="s">
        <v>341</v>
      </c>
    </row>
    <row r="226" spans="1:5">
      <c r="A226" s="1" t="s">
        <v>342</v>
      </c>
    </row>
    <row r="228" spans="1:5">
      <c r="A228" s="37" t="s">
        <v>44</v>
      </c>
    </row>
    <row r="229" spans="1:5">
      <c r="A229" s="37" t="s">
        <v>235</v>
      </c>
      <c r="B229" s="59" t="s">
        <v>236</v>
      </c>
      <c r="C229" s="59" t="s">
        <v>237</v>
      </c>
      <c r="D229" s="59" t="s">
        <v>238</v>
      </c>
      <c r="E229" s="177"/>
    </row>
    <row r="230" spans="1:5">
      <c r="B230" s="60"/>
      <c r="C230" s="60"/>
      <c r="D230" s="61" t="s">
        <v>188</v>
      </c>
      <c r="E230" s="177"/>
    </row>
    <row r="231" spans="1:5">
      <c r="B231" s="36"/>
      <c r="C231" s="36"/>
      <c r="D231" s="36" t="s">
        <v>188</v>
      </c>
      <c r="E231" s="177"/>
    </row>
    <row r="232" spans="1:5">
      <c r="B232" s="36"/>
      <c r="C232" s="36"/>
      <c r="D232" s="36" t="s">
        <v>239</v>
      </c>
      <c r="E232" s="177"/>
    </row>
    <row r="233" spans="1:5">
      <c r="A233" s="1" t="s">
        <v>240</v>
      </c>
      <c r="B233" s="36"/>
      <c r="C233" s="36"/>
      <c r="D233" s="36" t="s">
        <v>239</v>
      </c>
      <c r="E233" s="177"/>
    </row>
    <row r="234" spans="1:5">
      <c r="A234" s="1" t="s">
        <v>241</v>
      </c>
      <c r="B234" s="36"/>
      <c r="C234" s="36"/>
      <c r="D234" s="36" t="s">
        <v>239</v>
      </c>
      <c r="E234" s="177"/>
    </row>
    <row r="235" spans="1:5">
      <c r="A235" s="1" t="s">
        <v>242</v>
      </c>
      <c r="B235" s="53"/>
      <c r="C235" s="53"/>
      <c r="D235" s="53" t="s">
        <v>239</v>
      </c>
      <c r="E235" s="177"/>
    </row>
    <row r="236" spans="1:5">
      <c r="B236" s="2"/>
      <c r="D236" s="177"/>
      <c r="E236" s="177"/>
    </row>
    <row r="237" spans="1:5">
      <c r="B237" s="107" t="s">
        <v>236</v>
      </c>
      <c r="C237" s="59" t="s">
        <v>237</v>
      </c>
      <c r="D237" s="179"/>
      <c r="E237" s="59" t="s">
        <v>238</v>
      </c>
    </row>
    <row r="238" spans="1:5">
      <c r="B238" s="46"/>
      <c r="C238" s="33"/>
      <c r="D238" s="85">
        <f t="shared" ref="D238:D243" si="6">B238*C238</f>
        <v>0</v>
      </c>
      <c r="E238" s="61" t="s">
        <v>239</v>
      </c>
    </row>
    <row r="239" spans="1:5">
      <c r="B239" s="51"/>
      <c r="C239" s="60"/>
      <c r="D239" s="72">
        <f t="shared" si="6"/>
        <v>0</v>
      </c>
      <c r="E239" s="36" t="s">
        <v>239</v>
      </c>
    </row>
    <row r="240" spans="1:5">
      <c r="B240" s="51"/>
      <c r="C240" s="36"/>
      <c r="D240" s="72">
        <f t="shared" si="6"/>
        <v>0</v>
      </c>
      <c r="E240" s="36" t="s">
        <v>239</v>
      </c>
    </row>
    <row r="241" spans="1:5">
      <c r="B241" s="51"/>
      <c r="C241" s="36"/>
      <c r="D241" s="72">
        <f t="shared" si="6"/>
        <v>0</v>
      </c>
      <c r="E241" s="36" t="s">
        <v>239</v>
      </c>
    </row>
    <row r="242" spans="1:5">
      <c r="B242" s="51"/>
      <c r="C242" s="36"/>
      <c r="D242" s="72">
        <f t="shared" si="6"/>
        <v>0</v>
      </c>
      <c r="E242" s="36" t="s">
        <v>239</v>
      </c>
    </row>
    <row r="243" spans="1:5">
      <c r="B243" s="133"/>
      <c r="C243" s="298"/>
      <c r="D243" s="79">
        <f t="shared" si="6"/>
        <v>0</v>
      </c>
      <c r="E243" s="53" t="s">
        <v>239</v>
      </c>
    </row>
    <row r="244" spans="1:5">
      <c r="B244" s="2"/>
      <c r="D244" s="243">
        <f>SUM(D238:D243)</f>
        <v>0</v>
      </c>
      <c r="E244" s="177" t="s">
        <v>239</v>
      </c>
    </row>
    <row r="246" spans="1:5">
      <c r="A246" s="37" t="s">
        <v>43</v>
      </c>
    </row>
    <row r="247" spans="1:5">
      <c r="A247" s="37" t="s">
        <v>235</v>
      </c>
    </row>
    <row r="249" spans="1:5">
      <c r="A249" s="1" t="s">
        <v>247</v>
      </c>
      <c r="B249" s="1">
        <v>12</v>
      </c>
      <c r="C249" s="2" t="s">
        <v>188</v>
      </c>
    </row>
    <row r="250" spans="1:5">
      <c r="A250" s="1" t="s">
        <v>248</v>
      </c>
      <c r="B250" s="1">
        <v>10</v>
      </c>
      <c r="C250" s="2" t="s">
        <v>188</v>
      </c>
    </row>
    <row r="251" spans="1:5">
      <c r="A251" s="1" t="s">
        <v>249</v>
      </c>
      <c r="B251" s="1">
        <v>10</v>
      </c>
      <c r="C251" s="2" t="s">
        <v>188</v>
      </c>
    </row>
    <row r="253" spans="1:5">
      <c r="B253" s="504" t="s">
        <v>43</v>
      </c>
      <c r="C253" s="504"/>
      <c r="D253" s="504"/>
    </row>
    <row r="254" spans="1:5">
      <c r="B254" s="107" t="s">
        <v>250</v>
      </c>
      <c r="C254" s="16" t="s">
        <v>251</v>
      </c>
      <c r="D254" s="128" t="s">
        <v>243</v>
      </c>
    </row>
    <row r="255" spans="1:5">
      <c r="B255" s="46" t="s">
        <v>252</v>
      </c>
      <c r="C255" s="33"/>
      <c r="D255" s="299">
        <f t="shared" ref="D255:D260" si="7">C255*0.458</f>
        <v>0</v>
      </c>
    </row>
    <row r="256" spans="1:5">
      <c r="B256" s="51" t="s">
        <v>253</v>
      </c>
      <c r="C256" s="36"/>
      <c r="D256" s="300">
        <f t="shared" si="7"/>
        <v>0</v>
      </c>
    </row>
    <row r="257" spans="1:4">
      <c r="B257" s="51" t="s">
        <v>254</v>
      </c>
      <c r="C257" s="36"/>
      <c r="D257" s="300">
        <f t="shared" si="7"/>
        <v>0</v>
      </c>
    </row>
    <row r="258" spans="1:4">
      <c r="B258" s="51" t="s">
        <v>255</v>
      </c>
      <c r="C258" s="36"/>
      <c r="D258" s="300">
        <f t="shared" si="7"/>
        <v>0</v>
      </c>
    </row>
    <row r="259" spans="1:4">
      <c r="B259" s="51" t="s">
        <v>256</v>
      </c>
      <c r="C259" s="36"/>
      <c r="D259" s="300">
        <f t="shared" si="7"/>
        <v>0</v>
      </c>
    </row>
    <row r="260" spans="1:4">
      <c r="B260" s="241" t="s">
        <v>257</v>
      </c>
      <c r="C260" s="199"/>
      <c r="D260" s="301">
        <f t="shared" si="7"/>
        <v>0</v>
      </c>
    </row>
    <row r="261" spans="1:4">
      <c r="B261" s="107" t="s">
        <v>258</v>
      </c>
      <c r="C261" s="152">
        <f>SUM(C255:C260)</f>
        <v>0</v>
      </c>
      <c r="D261" s="302">
        <f>SUM(D255:D260)</f>
        <v>0</v>
      </c>
    </row>
    <row r="265" spans="1:4">
      <c r="A265" s="107" t="s">
        <v>40</v>
      </c>
      <c r="B265" s="59" t="s">
        <v>343</v>
      </c>
    </row>
    <row r="266" spans="1:4">
      <c r="A266" s="17" t="s">
        <v>344</v>
      </c>
      <c r="B266" s="303">
        <v>1.0085585947085201</v>
      </c>
    </row>
    <row r="267" spans="1:4">
      <c r="A267" s="20" t="s">
        <v>345</v>
      </c>
      <c r="B267" s="304">
        <v>0.99999534146109503</v>
      </c>
      <c r="D267" s="2"/>
    </row>
    <row r="268" spans="1:4">
      <c r="A268" s="20" t="s">
        <v>346</v>
      </c>
      <c r="B268" s="304">
        <v>0.99159001943935199</v>
      </c>
    </row>
    <row r="269" spans="1:4">
      <c r="A269" s="20" t="s">
        <v>347</v>
      </c>
      <c r="B269" s="304">
        <v>0.98855581232616796</v>
      </c>
    </row>
    <row r="270" spans="1:4">
      <c r="A270" s="20" t="s">
        <v>348</v>
      </c>
      <c r="B270" s="304">
        <v>1.0016858821657899</v>
      </c>
    </row>
    <row r="271" spans="1:4">
      <c r="A271" s="20" t="s">
        <v>349</v>
      </c>
      <c r="B271" s="304">
        <v>1.0099924905346001</v>
      </c>
    </row>
    <row r="272" spans="1:4">
      <c r="A272" s="20" t="s">
        <v>350</v>
      </c>
      <c r="B272" s="304">
        <v>0.98964257495139496</v>
      </c>
    </row>
    <row r="273" spans="1:7">
      <c r="A273" s="20" t="s">
        <v>351</v>
      </c>
      <c r="B273" s="304">
        <v>0.98952549818298496</v>
      </c>
    </row>
    <row r="274" spans="1:7">
      <c r="A274" s="20" t="s">
        <v>352</v>
      </c>
      <c r="B274" s="304">
        <v>1.02150388505585</v>
      </c>
    </row>
    <row r="275" spans="1:7">
      <c r="A275" s="20" t="s">
        <v>353</v>
      </c>
      <c r="B275" s="304">
        <v>1.0014708262760299</v>
      </c>
    </row>
    <row r="276" spans="1:7">
      <c r="A276" s="20" t="s">
        <v>354</v>
      </c>
      <c r="B276" s="304">
        <v>1.0079948916555099</v>
      </c>
    </row>
    <row r="277" spans="1:7" ht="15.75" thickBot="1">
      <c r="A277" s="25" t="s">
        <v>355</v>
      </c>
      <c r="B277" s="305">
        <v>0.99068739341286705</v>
      </c>
    </row>
    <row r="278" spans="1:7" s="135" customFormat="1">
      <c r="A278" s="203"/>
      <c r="B278" s="327"/>
      <c r="C278" s="2"/>
    </row>
    <row r="279" spans="1:7" ht="15.75" thickBot="1">
      <c r="A279" s="328" t="s">
        <v>387</v>
      </c>
    </row>
    <row r="280" spans="1:7" s="135" customFormat="1" ht="15.75" thickBot="1">
      <c r="A280" s="38"/>
      <c r="B280" s="507" t="s">
        <v>140</v>
      </c>
      <c r="C280" s="507"/>
      <c r="D280" s="508" t="s">
        <v>141</v>
      </c>
      <c r="E280" s="508"/>
      <c r="F280" s="535" t="s">
        <v>142</v>
      </c>
      <c r="G280" s="535"/>
    </row>
    <row r="281" spans="1:7" s="135" customFormat="1" ht="15.75" thickBot="1">
      <c r="A281" s="19" t="s">
        <v>143</v>
      </c>
      <c r="B281" s="31" t="s">
        <v>144</v>
      </c>
      <c r="C281" s="54" t="s">
        <v>145</v>
      </c>
      <c r="D281" s="19" t="s">
        <v>144</v>
      </c>
      <c r="E281" s="18" t="s">
        <v>145</v>
      </c>
      <c r="F281" s="54" t="s">
        <v>144</v>
      </c>
      <c r="G281" s="19" t="s">
        <v>146</v>
      </c>
    </row>
    <row r="282" spans="1:7" s="135" customFormat="1">
      <c r="A282" s="58" t="s">
        <v>50</v>
      </c>
      <c r="B282" s="63">
        <v>260.63472179323401</v>
      </c>
      <c r="C282" s="64">
        <v>36.635792077027801</v>
      </c>
      <c r="D282" s="65">
        <v>417.30630997009598</v>
      </c>
      <c r="E282" s="66">
        <v>62.7129066177813</v>
      </c>
      <c r="F282" s="282">
        <f t="shared" ref="F282:F293" si="8">B282-D282</f>
        <v>-156.67158817686197</v>
      </c>
      <c r="G282" s="68">
        <f t="shared" ref="G282:G287" si="9">F282/840</f>
        <v>-0.18651379544864521</v>
      </c>
    </row>
    <row r="283" spans="1:7" s="135" customFormat="1">
      <c r="A283" s="35" t="s">
        <v>56</v>
      </c>
      <c r="B283" s="69">
        <v>-218.96947852522101</v>
      </c>
      <c r="C283" s="70">
        <v>22.362343790211899</v>
      </c>
      <c r="D283" s="71">
        <v>106.193416058255</v>
      </c>
      <c r="E283" s="72">
        <v>40.949363499931103</v>
      </c>
      <c r="F283" s="283">
        <f t="shared" si="8"/>
        <v>-325.16289458347603</v>
      </c>
      <c r="G283" s="74">
        <f t="shared" si="9"/>
        <v>-0.38709868402794767</v>
      </c>
    </row>
    <row r="284" spans="1:7" s="135" customFormat="1">
      <c r="A284" s="35" t="s">
        <v>62</v>
      </c>
      <c r="B284" s="69">
        <v>-100.54391043423701</v>
      </c>
      <c r="C284" s="70">
        <v>16.431099694264201</v>
      </c>
      <c r="D284" s="71">
        <v>569.40208222717104</v>
      </c>
      <c r="E284" s="72">
        <v>73.045191151271098</v>
      </c>
      <c r="F284" s="283">
        <f t="shared" si="8"/>
        <v>-669.94599266140801</v>
      </c>
      <c r="G284" s="74">
        <f t="shared" si="9"/>
        <v>-0.7975547531683429</v>
      </c>
    </row>
    <row r="285" spans="1:7" s="135" customFormat="1">
      <c r="A285" s="35" t="s">
        <v>68</v>
      </c>
      <c r="B285" s="69">
        <v>-160.941730453486</v>
      </c>
      <c r="C285" s="70">
        <v>75.532291653248805</v>
      </c>
      <c r="D285" s="71">
        <v>78.734855331725996</v>
      </c>
      <c r="E285" s="72">
        <v>71.427621076627702</v>
      </c>
      <c r="F285" s="283">
        <f t="shared" si="8"/>
        <v>-239.67658578521201</v>
      </c>
      <c r="G285" s="74">
        <f t="shared" si="9"/>
        <v>-0.28532926879191906</v>
      </c>
    </row>
    <row r="286" spans="1:7" s="135" customFormat="1">
      <c r="A286" s="35" t="s">
        <v>74</v>
      </c>
      <c r="B286" s="69">
        <v>-60.914387210979399</v>
      </c>
      <c r="C286" s="70">
        <v>138.52161193296701</v>
      </c>
      <c r="D286" s="71">
        <v>-312.74744460452399</v>
      </c>
      <c r="E286" s="72">
        <v>92.992860881470904</v>
      </c>
      <c r="F286" s="283">
        <f t="shared" si="8"/>
        <v>251.83305739354461</v>
      </c>
      <c r="G286" s="74">
        <f t="shared" si="9"/>
        <v>0.29980125880183883</v>
      </c>
    </row>
    <row r="287" spans="1:7" s="135" customFormat="1" ht="15.75" thickBot="1">
      <c r="A287" s="52" t="s">
        <v>80</v>
      </c>
      <c r="B287" s="76">
        <v>-112.016150445561</v>
      </c>
      <c r="C287" s="77">
        <v>46.790748582350098</v>
      </c>
      <c r="D287" s="78">
        <v>287.286290090531</v>
      </c>
      <c r="E287" s="79">
        <v>69.347419798523504</v>
      </c>
      <c r="F287" s="284">
        <f t="shared" si="8"/>
        <v>-399.30244053609198</v>
      </c>
      <c r="G287" s="81">
        <f t="shared" si="9"/>
        <v>-0.47536004825725237</v>
      </c>
    </row>
    <row r="288" spans="1:7" s="135" customFormat="1">
      <c r="A288" s="32" t="s">
        <v>52</v>
      </c>
      <c r="B288" s="82">
        <v>-138.14375820756001</v>
      </c>
      <c r="C288" s="83">
        <v>25.287502414530199</v>
      </c>
      <c r="D288" s="84">
        <v>590.95767725631595</v>
      </c>
      <c r="E288" s="85">
        <v>98.280765707956405</v>
      </c>
      <c r="F288" s="282">
        <f t="shared" si="8"/>
        <v>-729.10143546387599</v>
      </c>
      <c r="G288" s="86">
        <f t="shared" ref="G288:G293" si="10">F288/(4*840)</f>
        <v>-0.21699447484043929</v>
      </c>
    </row>
    <row r="289" spans="1:9">
      <c r="A289" s="35" t="s">
        <v>58</v>
      </c>
      <c r="B289" s="69">
        <v>857.08001802489196</v>
      </c>
      <c r="C289" s="70">
        <v>66.927800408763403</v>
      </c>
      <c r="D289" s="71">
        <v>835.415576897562</v>
      </c>
      <c r="E289" s="72">
        <v>97.710966618800498</v>
      </c>
      <c r="F289" s="283">
        <f t="shared" si="8"/>
        <v>21.664441127329951</v>
      </c>
      <c r="G289" s="74">
        <f t="shared" si="10"/>
        <v>6.4477503355148662E-3</v>
      </c>
    </row>
    <row r="290" spans="1:9">
      <c r="A290" s="35" t="s">
        <v>64</v>
      </c>
      <c r="B290" s="69">
        <v>-345.27126801013901</v>
      </c>
      <c r="C290" s="70">
        <v>48.379562389096698</v>
      </c>
      <c r="D290" s="71">
        <v>836.23464296758198</v>
      </c>
      <c r="E290" s="72">
        <v>59.003698834617701</v>
      </c>
      <c r="F290" s="283">
        <f t="shared" si="8"/>
        <v>-1181.505910977721</v>
      </c>
      <c r="G290" s="74">
        <f t="shared" si="10"/>
        <v>-0.35163866398146459</v>
      </c>
    </row>
    <row r="291" spans="1:9">
      <c r="A291" s="35" t="s">
        <v>70</v>
      </c>
      <c r="B291" s="69">
        <v>923.60511785745598</v>
      </c>
      <c r="C291" s="70">
        <v>35.635947008370302</v>
      </c>
      <c r="D291" s="71">
        <v>1020.21032077819</v>
      </c>
      <c r="E291" s="72">
        <v>209.10939869502701</v>
      </c>
      <c r="F291" s="283">
        <f t="shared" si="8"/>
        <v>-96.605202920733973</v>
      </c>
      <c r="G291" s="74">
        <f t="shared" si="10"/>
        <v>-2.8751548488313683E-2</v>
      </c>
    </row>
    <row r="292" spans="1:9">
      <c r="A292" s="35" t="s">
        <v>76</v>
      </c>
      <c r="B292" s="69">
        <v>706.33398538082804</v>
      </c>
      <c r="C292" s="70">
        <v>55.736448757655403</v>
      </c>
      <c r="D292" s="71">
        <v>468.91673755102499</v>
      </c>
      <c r="E292" s="72">
        <v>244.17752311301101</v>
      </c>
      <c r="F292" s="283">
        <f t="shared" si="8"/>
        <v>237.41724782980305</v>
      </c>
      <c r="G292" s="74">
        <f t="shared" si="10"/>
        <v>7.0659895187441382E-2</v>
      </c>
    </row>
    <row r="293" spans="1:9" ht="15.75" thickBot="1">
      <c r="A293" s="52" t="s">
        <v>82</v>
      </c>
      <c r="B293" s="76">
        <v>-470.08975988626503</v>
      </c>
      <c r="C293" s="77">
        <v>54.0443223700725</v>
      </c>
      <c r="D293" s="78">
        <v>-147.206868596665</v>
      </c>
      <c r="E293" s="79">
        <v>203.430492956591</v>
      </c>
      <c r="F293" s="284">
        <f t="shared" si="8"/>
        <v>-322.88289128960002</v>
      </c>
      <c r="G293" s="81">
        <f t="shared" si="10"/>
        <v>-9.6096098598095245E-2</v>
      </c>
    </row>
    <row r="294" spans="1:9" s="135" customFormat="1">
      <c r="A294" s="38"/>
      <c r="B294" s="326"/>
      <c r="C294" s="326"/>
      <c r="D294" s="75"/>
      <c r="E294" s="75"/>
      <c r="F294" s="75"/>
      <c r="G294" s="10"/>
    </row>
    <row r="295" spans="1:9" s="135" customFormat="1">
      <c r="A295" s="38"/>
      <c r="B295" s="326"/>
      <c r="C295" s="326"/>
      <c r="D295" s="75"/>
      <c r="E295" s="75"/>
      <c r="F295" s="75"/>
      <c r="G295" s="10"/>
    </row>
    <row r="296" spans="1:9" ht="15.75" thickBot="1">
      <c r="A296" s="135" t="s">
        <v>356</v>
      </c>
      <c r="D296" s="502" t="s">
        <v>143</v>
      </c>
      <c r="E296" s="502"/>
      <c r="F296" s="502"/>
      <c r="G296" s="502"/>
      <c r="H296" s="502"/>
      <c r="I296" s="502"/>
    </row>
    <row r="297" spans="1:9">
      <c r="D297" s="204" t="s">
        <v>50</v>
      </c>
      <c r="E297" s="205" t="s">
        <v>56</v>
      </c>
      <c r="F297" s="206" t="s">
        <v>62</v>
      </c>
      <c r="G297" s="204" t="s">
        <v>68</v>
      </c>
      <c r="H297" s="205" t="s">
        <v>74</v>
      </c>
      <c r="I297" s="207" t="s">
        <v>80</v>
      </c>
    </row>
    <row r="298" spans="1:9">
      <c r="B298" s="503" t="s">
        <v>220</v>
      </c>
      <c r="C298" s="17" t="s">
        <v>50</v>
      </c>
      <c r="D298" s="208">
        <v>3836.2425800000001</v>
      </c>
      <c r="E298" s="161">
        <v>1536.710687</v>
      </c>
      <c r="F298" s="209">
        <v>1534.7291399999999</v>
      </c>
      <c r="G298" s="164">
        <v>19.2029204</v>
      </c>
      <c r="H298" s="161">
        <v>-8.1176799999998899</v>
      </c>
      <c r="I298" s="162">
        <v>-9.3373999999997803</v>
      </c>
    </row>
    <row r="299" spans="1:9">
      <c r="B299" s="503"/>
      <c r="C299" s="20" t="s">
        <v>56</v>
      </c>
      <c r="D299" s="170">
        <v>1519.0841800000001</v>
      </c>
      <c r="E299" s="210">
        <v>3756.4486870000001</v>
      </c>
      <c r="F299" s="211">
        <v>1509.00494</v>
      </c>
      <c r="G299" s="170">
        <v>-0.35736991999999601</v>
      </c>
      <c r="H299" s="167">
        <v>15.337240000000101</v>
      </c>
      <c r="I299" s="168">
        <v>-4.2656599999999703</v>
      </c>
    </row>
    <row r="300" spans="1:9">
      <c r="B300" s="503"/>
      <c r="C300" s="25" t="s">
        <v>62</v>
      </c>
      <c r="D300" s="176">
        <v>1517.10778</v>
      </c>
      <c r="E300" s="173">
        <v>1515.1596870000001</v>
      </c>
      <c r="F300" s="212">
        <v>3756.02234</v>
      </c>
      <c r="G300" s="176">
        <v>2.4476931999999998</v>
      </c>
      <c r="H300" s="173">
        <v>-4.8505799999998098</v>
      </c>
      <c r="I300" s="174">
        <v>12.663900000000099</v>
      </c>
    </row>
    <row r="301" spans="1:9">
      <c r="B301" s="503"/>
      <c r="C301" s="28" t="s">
        <v>68</v>
      </c>
      <c r="D301" s="213">
        <v>58.794340000000197</v>
      </c>
      <c r="E301" s="214">
        <v>-129.72713300000001</v>
      </c>
      <c r="F301" s="215">
        <v>87.009239999999807</v>
      </c>
      <c r="G301" s="216">
        <v>2892.0887824000001</v>
      </c>
      <c r="H301" s="214">
        <v>-495.98766000000001</v>
      </c>
      <c r="I301" s="217">
        <v>-468.28615200000002</v>
      </c>
    </row>
    <row r="302" spans="1:9">
      <c r="B302" s="503"/>
      <c r="C302" s="20" t="s">
        <v>74</v>
      </c>
      <c r="D302" s="170">
        <v>77.750900000000101</v>
      </c>
      <c r="E302" s="167">
        <v>29.842158320599999</v>
      </c>
      <c r="F302" s="211">
        <v>-143.94576000000001</v>
      </c>
      <c r="G302" s="170">
        <v>-479.49233759999998</v>
      </c>
      <c r="H302" s="210">
        <v>2909.3199399999999</v>
      </c>
      <c r="I302" s="168">
        <v>-499.69490000000002</v>
      </c>
    </row>
    <row r="303" spans="1:9">
      <c r="B303" s="503"/>
      <c r="C303" s="25" t="s">
        <v>80</v>
      </c>
      <c r="D303" s="176">
        <v>-145.57339999999999</v>
      </c>
      <c r="E303" s="173">
        <v>79.475375</v>
      </c>
      <c r="F303" s="218">
        <v>15.95656</v>
      </c>
      <c r="G303" s="176">
        <v>-505.76811759999998</v>
      </c>
      <c r="H303" s="173">
        <v>-467.40156000000002</v>
      </c>
      <c r="I303" s="219">
        <v>2917.8108999999999</v>
      </c>
    </row>
    <row r="304" spans="1:9">
      <c r="B304" s="13"/>
      <c r="C304" s="203"/>
      <c r="D304" s="220"/>
      <c r="E304" s="220"/>
      <c r="F304" s="220"/>
      <c r="G304" s="220"/>
      <c r="H304" s="220"/>
      <c r="I304" s="220"/>
    </row>
    <row r="305" spans="1:9">
      <c r="D305" s="220"/>
      <c r="E305" s="220"/>
      <c r="F305" s="220"/>
      <c r="G305" s="220"/>
      <c r="H305" s="220"/>
      <c r="I305" s="220"/>
    </row>
    <row r="306" spans="1:9">
      <c r="D306" s="502" t="s">
        <v>143</v>
      </c>
      <c r="E306" s="502"/>
      <c r="F306" s="502"/>
      <c r="G306" s="502"/>
      <c r="H306" s="502"/>
      <c r="I306" s="502"/>
    </row>
    <row r="307" spans="1:9">
      <c r="D307" s="155" t="s">
        <v>52</v>
      </c>
      <c r="E307" s="156" t="s">
        <v>58</v>
      </c>
      <c r="F307" s="221" t="s">
        <v>64</v>
      </c>
      <c r="G307" s="155" t="s">
        <v>70</v>
      </c>
      <c r="H307" s="156" t="s">
        <v>76</v>
      </c>
      <c r="I307" s="157" t="s">
        <v>82</v>
      </c>
    </row>
    <row r="308" spans="1:9">
      <c r="B308" s="503" t="s">
        <v>220</v>
      </c>
      <c r="C308" s="17" t="s">
        <v>52</v>
      </c>
      <c r="D308" s="208">
        <v>2145.6684599999999</v>
      </c>
      <c r="E308" s="161">
        <v>317.82814000000002</v>
      </c>
      <c r="F308" s="209">
        <v>323.30287999999899</v>
      </c>
      <c r="G308" s="164">
        <v>-26.904399999999701</v>
      </c>
      <c r="H308" s="161">
        <v>-17.2833800000002</v>
      </c>
      <c r="I308" s="162">
        <v>-16.746551140000001</v>
      </c>
    </row>
    <row r="309" spans="1:9">
      <c r="B309" s="503"/>
      <c r="C309" s="20" t="s">
        <v>58</v>
      </c>
      <c r="D309" s="170">
        <v>321.39004</v>
      </c>
      <c r="E309" s="210">
        <v>2146.8099400000001</v>
      </c>
      <c r="F309" s="211">
        <v>318.31488000000002</v>
      </c>
      <c r="G309" s="170">
        <v>-18.935879999999901</v>
      </c>
      <c r="H309" s="167">
        <v>-13.4733600000003</v>
      </c>
      <c r="I309" s="168">
        <v>-26.708582740000001</v>
      </c>
    </row>
    <row r="310" spans="1:9">
      <c r="B310" s="503"/>
      <c r="C310" s="25" t="s">
        <v>64</v>
      </c>
      <c r="D310" s="176">
        <v>337.61142000000001</v>
      </c>
      <c r="E310" s="173">
        <v>333.10253999999998</v>
      </c>
      <c r="F310" s="212">
        <v>2237.22768</v>
      </c>
      <c r="G310" s="176">
        <v>-20.236419999999502</v>
      </c>
      <c r="H310" s="173">
        <v>23.905360000000002</v>
      </c>
      <c r="I310" s="174">
        <v>-6.9298547399999997</v>
      </c>
    </row>
    <row r="311" spans="1:9">
      <c r="B311" s="503"/>
      <c r="C311" s="28" t="s">
        <v>70</v>
      </c>
      <c r="D311" s="213">
        <v>61.941539999999897</v>
      </c>
      <c r="E311" s="214">
        <v>109.75673999999999</v>
      </c>
      <c r="F311" s="215">
        <v>-174.0402</v>
      </c>
      <c r="G311" s="216">
        <v>2609.17832</v>
      </c>
      <c r="H311" s="214">
        <v>369.97214000000002</v>
      </c>
      <c r="I311" s="217">
        <v>3.9190760599999899</v>
      </c>
    </row>
    <row r="312" spans="1:9">
      <c r="B312" s="503"/>
      <c r="C312" s="20" t="s">
        <v>76</v>
      </c>
      <c r="D312" s="170">
        <v>-184.005</v>
      </c>
      <c r="E312" s="167">
        <v>58.929040000000001</v>
      </c>
      <c r="F312" s="211">
        <v>88.560540000000103</v>
      </c>
      <c r="G312" s="170">
        <v>10.12738</v>
      </c>
      <c r="H312" s="210">
        <v>2606.2891399999999</v>
      </c>
      <c r="I312" s="168">
        <v>303.25426406000003</v>
      </c>
    </row>
    <row r="313" spans="1:9">
      <c r="B313" s="503"/>
      <c r="C313" s="25" t="s">
        <v>82</v>
      </c>
      <c r="D313" s="176">
        <v>105.59614000000001</v>
      </c>
      <c r="E313" s="173">
        <v>-178.26616000000001</v>
      </c>
      <c r="F313" s="218">
        <v>61.137979999999899</v>
      </c>
      <c r="G313" s="176">
        <v>298.86471999999998</v>
      </c>
      <c r="H313" s="173">
        <v>24.7071199999999</v>
      </c>
      <c r="I313" s="219">
        <v>2584.69095406</v>
      </c>
    </row>
    <row r="315" spans="1:9">
      <c r="A315" s="37" t="s">
        <v>222</v>
      </c>
    </row>
    <row r="316" spans="1:9">
      <c r="A316" s="135" t="s">
        <v>357</v>
      </c>
      <c r="C316" s="222"/>
      <c r="D316" s="108" t="s">
        <v>223</v>
      </c>
      <c r="E316" s="158" t="s">
        <v>224</v>
      </c>
      <c r="F316" s="108" t="s">
        <v>225</v>
      </c>
      <c r="G316" s="158" t="s">
        <v>358</v>
      </c>
      <c r="H316" s="108" t="s">
        <v>226</v>
      </c>
      <c r="I316" s="109" t="s">
        <v>227</v>
      </c>
    </row>
    <row r="317" spans="1:9">
      <c r="B317" s="503" t="s">
        <v>220</v>
      </c>
      <c r="C317" s="159" t="s">
        <v>223</v>
      </c>
      <c r="D317" s="223">
        <v>1522.9320748</v>
      </c>
      <c r="E317" s="163">
        <v>1.9772999999998999</v>
      </c>
      <c r="F317" s="67">
        <v>-7.1407058000000001</v>
      </c>
      <c r="G317" s="163">
        <v>-12.229186</v>
      </c>
      <c r="H317" s="67">
        <v>-6.8931999999999203</v>
      </c>
      <c r="I317" s="114">
        <v>30.98518</v>
      </c>
    </row>
    <row r="318" spans="1:9">
      <c r="B318" s="503"/>
      <c r="C318" s="165" t="s">
        <v>224</v>
      </c>
      <c r="D318" s="73">
        <v>-7.4660798599999998</v>
      </c>
      <c r="E318" s="224">
        <v>1505.6627000000001</v>
      </c>
      <c r="F318" s="73">
        <v>-24.875414599999999</v>
      </c>
      <c r="G318" s="169">
        <v>11.324112000000101</v>
      </c>
      <c r="H318" s="73">
        <v>-9.3006000000000899</v>
      </c>
      <c r="I318" s="119">
        <v>3.3553799999999701</v>
      </c>
    </row>
    <row r="319" spans="1:9">
      <c r="B319" s="503"/>
      <c r="C319" s="165" t="s">
        <v>225</v>
      </c>
      <c r="D319" s="73">
        <v>26.587818800000001</v>
      </c>
      <c r="E319" s="169">
        <v>-0.73838000000000703</v>
      </c>
      <c r="F319" s="225">
        <v>656.46883079999998</v>
      </c>
      <c r="G319" s="169">
        <v>5.4674840000001099</v>
      </c>
      <c r="H319" s="73">
        <v>4.6722600000000503</v>
      </c>
      <c r="I319" s="119">
        <v>-6.7044799999999896</v>
      </c>
    </row>
    <row r="320" spans="1:9">
      <c r="B320" s="503"/>
      <c r="C320" s="165" t="s">
        <v>228</v>
      </c>
      <c r="D320" s="73">
        <v>5.4513676000000197</v>
      </c>
      <c r="E320" s="226">
        <v>305.02421831999999</v>
      </c>
      <c r="F320" s="73">
        <v>-3.1413799999995697E-2</v>
      </c>
      <c r="G320" s="224">
        <v>2469.0793960000001</v>
      </c>
      <c r="H320" s="73">
        <v>-6.2807400000000397</v>
      </c>
      <c r="I320" s="119">
        <v>-10.266279999999901</v>
      </c>
    </row>
    <row r="321" spans="2:9">
      <c r="B321" s="503"/>
      <c r="C321" s="165" t="s">
        <v>226</v>
      </c>
      <c r="D321" s="227">
        <v>-290.8652452</v>
      </c>
      <c r="E321" s="169">
        <v>18.910499999999999</v>
      </c>
      <c r="F321" s="73">
        <v>-2.4744971039999801</v>
      </c>
      <c r="G321" s="169">
        <v>-0.52794399999994801</v>
      </c>
      <c r="H321" s="225">
        <v>2472.2221399999999</v>
      </c>
      <c r="I321" s="119">
        <v>-8.6027399999998106</v>
      </c>
    </row>
    <row r="322" spans="2:9">
      <c r="B322" s="503"/>
      <c r="C322" s="171" t="s">
        <v>227</v>
      </c>
      <c r="D322" s="80">
        <v>13.725849759999999</v>
      </c>
      <c r="E322" s="175">
        <v>1.77905999999984</v>
      </c>
      <c r="F322" s="80">
        <v>-1.3827525999999899</v>
      </c>
      <c r="G322" s="175">
        <v>1.38413600000003</v>
      </c>
      <c r="H322" s="80">
        <v>-0.46478000000007602</v>
      </c>
      <c r="I322" s="228">
        <v>2884.34238</v>
      </c>
    </row>
    <row r="323" spans="2:9">
      <c r="C323" s="222"/>
      <c r="D323" s="220"/>
      <c r="E323" s="220"/>
      <c r="F323" s="220"/>
      <c r="G323" s="220"/>
      <c r="H323" s="220"/>
      <c r="I323" s="220"/>
    </row>
    <row r="324" spans="2:9">
      <c r="C324" s="222"/>
      <c r="D324" s="220"/>
      <c r="E324" s="220"/>
      <c r="F324" s="220"/>
      <c r="G324" s="220"/>
      <c r="H324" s="220"/>
      <c r="I324" s="220"/>
    </row>
    <row r="325" spans="2:9">
      <c r="C325" s="222"/>
      <c r="D325" s="229" t="s">
        <v>229</v>
      </c>
      <c r="E325" s="108" t="s">
        <v>230</v>
      </c>
      <c r="F325" s="158" t="s">
        <v>231</v>
      </c>
      <c r="G325" s="108" t="s">
        <v>359</v>
      </c>
      <c r="H325" s="158" t="s">
        <v>232</v>
      </c>
      <c r="I325" s="108" t="s">
        <v>233</v>
      </c>
    </row>
    <row r="326" spans="2:9">
      <c r="B326" s="503" t="s">
        <v>220</v>
      </c>
      <c r="C326" s="230" t="s">
        <v>229</v>
      </c>
      <c r="D326" s="231">
        <v>1228.7257024</v>
      </c>
      <c r="E326" s="91">
        <v>-18.737298000000099</v>
      </c>
      <c r="F326" s="232">
        <v>56.869255999999403</v>
      </c>
      <c r="G326" s="91">
        <v>24.694520000000001</v>
      </c>
      <c r="H326" s="232">
        <v>5.0336400000002204</v>
      </c>
      <c r="I326" s="91">
        <v>14.7167199999994</v>
      </c>
    </row>
    <row r="327" spans="2:9">
      <c r="B327" s="503"/>
      <c r="C327" s="233" t="s">
        <v>230</v>
      </c>
      <c r="D327" s="118">
        <v>-0.35774259999998798</v>
      </c>
      <c r="E327" s="225">
        <v>1233.95234</v>
      </c>
      <c r="F327" s="169">
        <v>-26.980700000000098</v>
      </c>
      <c r="G327" s="73">
        <v>6.5184999999998503</v>
      </c>
      <c r="H327" s="169">
        <v>1.2663200000005199</v>
      </c>
      <c r="I327" s="73">
        <v>-41.752300000000702</v>
      </c>
    </row>
    <row r="328" spans="2:9">
      <c r="B328" s="503"/>
      <c r="C328" s="233" t="s">
        <v>231</v>
      </c>
      <c r="D328" s="118">
        <v>9.0590815999999901</v>
      </c>
      <c r="E328" s="73">
        <v>2.97826199999992</v>
      </c>
      <c r="F328" s="224">
        <v>963.84829999999999</v>
      </c>
      <c r="G328" s="73">
        <v>10.2114799999999</v>
      </c>
      <c r="H328" s="169">
        <v>14.62218</v>
      </c>
      <c r="I328" s="73">
        <v>-3.0406400000003901</v>
      </c>
    </row>
    <row r="329" spans="2:9">
      <c r="B329" s="503"/>
      <c r="C329" s="233" t="s">
        <v>234</v>
      </c>
      <c r="D329" s="118">
        <v>2.9139738000000199</v>
      </c>
      <c r="E329" s="227">
        <v>-6.4512200000000401</v>
      </c>
      <c r="F329" s="169">
        <v>-5.4257800000002598</v>
      </c>
      <c r="G329" s="225">
        <v>3754.7697800000001</v>
      </c>
      <c r="H329" s="169">
        <v>-1.37673999999981</v>
      </c>
      <c r="I329" s="73">
        <v>-11.4680800000008</v>
      </c>
    </row>
    <row r="330" spans="2:9">
      <c r="B330" s="503"/>
      <c r="C330" s="233" t="s">
        <v>232</v>
      </c>
      <c r="D330" s="234">
        <v>20.796885199999998</v>
      </c>
      <c r="E330" s="73">
        <v>2.3750540000000102</v>
      </c>
      <c r="F330" s="169">
        <v>-14.634860000000099</v>
      </c>
      <c r="G330" s="73">
        <v>11.35224</v>
      </c>
      <c r="H330" s="224">
        <v>3747.4952199999998</v>
      </c>
      <c r="I330" s="73">
        <v>-1.87388000000078</v>
      </c>
    </row>
    <row r="331" spans="2:9">
      <c r="B331" s="503"/>
      <c r="C331" s="235" t="s">
        <v>233</v>
      </c>
      <c r="D331" s="123">
        <v>12.431065</v>
      </c>
      <c r="E331" s="80">
        <v>-32.597999999999999</v>
      </c>
      <c r="F331" s="175">
        <v>-26.820240000000201</v>
      </c>
      <c r="G331" s="80">
        <v>-4.9579600000001296</v>
      </c>
      <c r="H331" s="175">
        <v>15.8083000000006</v>
      </c>
      <c r="I331" s="236">
        <v>2340.9977199999998</v>
      </c>
    </row>
    <row r="333" spans="2:9">
      <c r="D333" s="502" t="s">
        <v>143</v>
      </c>
      <c r="E333" s="502"/>
      <c r="F333" s="502"/>
      <c r="G333" s="502"/>
      <c r="H333" s="502"/>
      <c r="I333" s="502"/>
    </row>
    <row r="334" spans="2:9">
      <c r="C334" s="222"/>
      <c r="D334" s="127" t="s">
        <v>50</v>
      </c>
      <c r="E334" s="16" t="s">
        <v>56</v>
      </c>
      <c r="F334" s="128" t="s">
        <v>62</v>
      </c>
      <c r="G334" s="191" t="s">
        <v>68</v>
      </c>
      <c r="H334" s="16" t="s">
        <v>74</v>
      </c>
      <c r="I334" s="128" t="s">
        <v>80</v>
      </c>
    </row>
    <row r="335" spans="2:9">
      <c r="B335" s="503" t="s">
        <v>220</v>
      </c>
      <c r="C335" s="159" t="s">
        <v>223</v>
      </c>
      <c r="D335" s="113">
        <v>1548.0186200000001</v>
      </c>
      <c r="E335" s="67">
        <v>-730.41743610000003</v>
      </c>
      <c r="F335" s="114">
        <v>-736.05592000000001</v>
      </c>
      <c r="G335" s="163">
        <v>27.559878999999999</v>
      </c>
      <c r="H335" s="67">
        <v>-0.65735999999998296</v>
      </c>
      <c r="I335" s="114">
        <v>-7.32258000000013</v>
      </c>
    </row>
    <row r="336" spans="2:9">
      <c r="B336" s="503"/>
      <c r="C336" s="165" t="s">
        <v>224</v>
      </c>
      <c r="D336" s="118">
        <v>-25.154151999999801</v>
      </c>
      <c r="E336" s="73">
        <v>1298.1793439</v>
      </c>
      <c r="F336" s="119">
        <v>-1271.8197</v>
      </c>
      <c r="G336" s="169">
        <v>12.2488548</v>
      </c>
      <c r="H336" s="73">
        <v>18.872200000000099</v>
      </c>
      <c r="I336" s="119">
        <v>-0.48838000000012</v>
      </c>
    </row>
    <row r="337" spans="2:9">
      <c r="B337" s="503"/>
      <c r="C337" s="165" t="s">
        <v>225</v>
      </c>
      <c r="D337" s="118">
        <v>-47.697931999999803</v>
      </c>
      <c r="E337" s="73">
        <v>-6.8932966200000001</v>
      </c>
      <c r="F337" s="119">
        <v>-22.621459999999701</v>
      </c>
      <c r="G337" s="169">
        <v>648.59371999999996</v>
      </c>
      <c r="H337" s="73">
        <v>657.45339999999999</v>
      </c>
      <c r="I337" s="119">
        <v>656.97313999999994</v>
      </c>
    </row>
    <row r="338" spans="2:9">
      <c r="B338" s="503"/>
      <c r="C338" s="165" t="s">
        <v>228</v>
      </c>
      <c r="D338" s="118">
        <v>-17.084919999999901</v>
      </c>
      <c r="E338" s="73">
        <v>127.4244599</v>
      </c>
      <c r="F338" s="119">
        <v>-145.61222000000001</v>
      </c>
      <c r="G338" s="169">
        <v>-2367.1164199999998</v>
      </c>
      <c r="H338" s="73">
        <v>2015.1640400000001</v>
      </c>
      <c r="I338" s="119">
        <v>369.41090000000003</v>
      </c>
    </row>
    <row r="339" spans="2:9">
      <c r="B339" s="503"/>
      <c r="C339" s="165" t="s">
        <v>226</v>
      </c>
      <c r="D339" s="118">
        <v>-180.72921919999999</v>
      </c>
      <c r="E339" s="73">
        <v>78.337531900000002</v>
      </c>
      <c r="F339" s="119">
        <v>58.042119999999997</v>
      </c>
      <c r="G339" s="169">
        <v>-936.46753999999999</v>
      </c>
      <c r="H339" s="73">
        <v>-1580.21236</v>
      </c>
      <c r="I339" s="119">
        <v>2541.0494800000001</v>
      </c>
    </row>
    <row r="340" spans="2:9">
      <c r="B340" s="503"/>
      <c r="C340" s="171" t="s">
        <v>227</v>
      </c>
      <c r="D340" s="123">
        <v>2786.7548200000001</v>
      </c>
      <c r="E340" s="80">
        <v>2757.6193438999999</v>
      </c>
      <c r="F340" s="124">
        <v>2763.5365400000001</v>
      </c>
      <c r="G340" s="175">
        <v>4.6076812</v>
      </c>
      <c r="H340" s="80">
        <v>-3.6263199999999598</v>
      </c>
      <c r="I340" s="124">
        <v>-5.2720400000001799</v>
      </c>
    </row>
    <row r="341" spans="2:9">
      <c r="C341" s="222"/>
      <c r="D341" s="220"/>
      <c r="E341" s="220"/>
      <c r="F341" s="220"/>
      <c r="G341" s="220"/>
      <c r="H341" s="220"/>
      <c r="I341" s="220"/>
    </row>
    <row r="342" spans="2:9">
      <c r="C342" s="222"/>
      <c r="D342" s="502" t="s">
        <v>143</v>
      </c>
      <c r="E342" s="502"/>
      <c r="F342" s="502"/>
      <c r="G342" s="502"/>
      <c r="H342" s="502"/>
      <c r="I342" s="502"/>
    </row>
    <row r="343" spans="2:9">
      <c r="C343" s="222"/>
      <c r="D343" s="237" t="s">
        <v>52</v>
      </c>
      <c r="E343" s="238" t="s">
        <v>58</v>
      </c>
      <c r="F343" s="239" t="s">
        <v>64</v>
      </c>
      <c r="G343" s="237" t="s">
        <v>70</v>
      </c>
      <c r="H343" s="238" t="s">
        <v>76</v>
      </c>
      <c r="I343" s="240" t="s">
        <v>82</v>
      </c>
    </row>
    <row r="344" spans="2:9">
      <c r="B344" s="503" t="s">
        <v>220</v>
      </c>
      <c r="C344" s="159" t="s">
        <v>229</v>
      </c>
      <c r="D344" s="113">
        <v>616.7627</v>
      </c>
      <c r="E344" s="67">
        <v>-1210.9607599999999</v>
      </c>
      <c r="F344" s="114">
        <v>630.11973999999998</v>
      </c>
      <c r="G344" s="163">
        <v>-35.6040599999994</v>
      </c>
      <c r="H344" s="67">
        <v>-0.75188000000025601</v>
      </c>
      <c r="I344" s="114">
        <v>23.247064200000001</v>
      </c>
    </row>
    <row r="345" spans="2:9">
      <c r="B345" s="503"/>
      <c r="C345" s="165" t="s">
        <v>230</v>
      </c>
      <c r="D345" s="118">
        <v>1055.6074799999999</v>
      </c>
      <c r="E345" s="73">
        <v>0.96913999999969802</v>
      </c>
      <c r="F345" s="119">
        <v>-1082.5165</v>
      </c>
      <c r="G345" s="169">
        <v>-15.3823400000005</v>
      </c>
      <c r="H345" s="73">
        <v>8.0785399999996894</v>
      </c>
      <c r="I345" s="119">
        <v>13.401471600000001</v>
      </c>
    </row>
    <row r="346" spans="2:9">
      <c r="B346" s="503"/>
      <c r="C346" s="165" t="s">
        <v>231</v>
      </c>
      <c r="D346" s="118">
        <v>6.3388800000001302</v>
      </c>
      <c r="E346" s="73">
        <v>7.5377999999999501</v>
      </c>
      <c r="F346" s="119">
        <v>4.1295200000000696</v>
      </c>
      <c r="G346" s="169">
        <v>948.469120000001</v>
      </c>
      <c r="H346" s="73">
        <v>979.01275999999996</v>
      </c>
      <c r="I346" s="119">
        <v>971.97983620000002</v>
      </c>
    </row>
    <row r="347" spans="2:9">
      <c r="B347" s="503"/>
      <c r="C347" s="165" t="s">
        <v>234</v>
      </c>
      <c r="D347" s="118">
        <v>-246.56870000000001</v>
      </c>
      <c r="E347" s="73">
        <v>-2.7122200000002299</v>
      </c>
      <c r="F347" s="119">
        <v>237.74200000000101</v>
      </c>
      <c r="G347" s="169">
        <v>-2197.7529199999999</v>
      </c>
      <c r="H347" s="73">
        <v>2226.96756</v>
      </c>
      <c r="I347" s="119">
        <v>-38.285565800000001</v>
      </c>
    </row>
    <row r="348" spans="2:9">
      <c r="B348" s="503"/>
      <c r="C348" s="165" t="s">
        <v>232</v>
      </c>
      <c r="D348" s="118">
        <v>144.77392</v>
      </c>
      <c r="E348" s="73">
        <v>-268.14517999999998</v>
      </c>
      <c r="F348" s="119">
        <v>151.72613999999999</v>
      </c>
      <c r="G348" s="169">
        <v>-1340.64678</v>
      </c>
      <c r="H348" s="73">
        <v>-1210.6724200000001</v>
      </c>
      <c r="I348" s="119">
        <v>2546.2988562</v>
      </c>
    </row>
    <row r="349" spans="2:9">
      <c r="B349" s="503"/>
      <c r="C349" s="171" t="s">
        <v>233</v>
      </c>
      <c r="D349" s="123">
        <v>1612.08628</v>
      </c>
      <c r="E349" s="80">
        <v>1612.86438</v>
      </c>
      <c r="F349" s="124">
        <v>1661.45454</v>
      </c>
      <c r="G349" s="175">
        <v>-18.266780000000001</v>
      </c>
      <c r="H349" s="80">
        <v>17.8137599999997</v>
      </c>
      <c r="I349" s="124">
        <v>21.481626800000001</v>
      </c>
    </row>
    <row r="354" spans="1:6">
      <c r="A354" s="37" t="s">
        <v>360</v>
      </c>
      <c r="B354" s="135" t="s">
        <v>361</v>
      </c>
    </row>
    <row r="356" spans="1:6">
      <c r="A356" s="59" t="s">
        <v>152</v>
      </c>
      <c r="B356" s="106" t="s">
        <v>153</v>
      </c>
      <c r="C356" s="59" t="s">
        <v>154</v>
      </c>
      <c r="D356" s="107" t="s">
        <v>155</v>
      </c>
      <c r="E356" s="108" t="s">
        <v>156</v>
      </c>
      <c r="F356" s="109" t="s">
        <v>146</v>
      </c>
    </row>
    <row r="357" spans="1:6">
      <c r="A357" s="28" t="s">
        <v>50</v>
      </c>
      <c r="B357" s="111">
        <v>-15865.252</v>
      </c>
      <c r="C357" s="112">
        <v>357</v>
      </c>
      <c r="D357" s="113">
        <v>16290.242</v>
      </c>
      <c r="E357" s="67">
        <f t="shared" ref="E357:E368" si="11">D357-B357</f>
        <v>32155.493999999999</v>
      </c>
      <c r="F357" s="306">
        <f t="shared" ref="F357:F362" si="12">E357/840</f>
        <v>38.280349999999999</v>
      </c>
    </row>
    <row r="358" spans="1:6">
      <c r="A358" s="20" t="s">
        <v>56</v>
      </c>
      <c r="B358" s="116">
        <v>-16123.448</v>
      </c>
      <c r="C358" s="117">
        <v>21</v>
      </c>
      <c r="D358" s="118">
        <v>15848.596</v>
      </c>
      <c r="E358" s="73">
        <f t="shared" si="11"/>
        <v>31972.044000000002</v>
      </c>
      <c r="F358" s="307">
        <f t="shared" si="12"/>
        <v>38.061957142857146</v>
      </c>
    </row>
    <row r="359" spans="1:6">
      <c r="A359" s="20" t="s">
        <v>62</v>
      </c>
      <c r="B359" s="116">
        <v>-15595.781999999999</v>
      </c>
      <c r="C359" s="117">
        <v>562</v>
      </c>
      <c r="D359" s="118">
        <v>15303.954</v>
      </c>
      <c r="E359" s="73">
        <f t="shared" si="11"/>
        <v>30899.735999999997</v>
      </c>
      <c r="F359" s="307">
        <f t="shared" si="12"/>
        <v>36.785399999999996</v>
      </c>
    </row>
    <row r="360" spans="1:6">
      <c r="A360" s="20" t="s">
        <v>68</v>
      </c>
      <c r="B360" s="116">
        <v>-12524.706</v>
      </c>
      <c r="C360" s="117">
        <v>-30</v>
      </c>
      <c r="D360" s="118">
        <v>12482.593999999999</v>
      </c>
      <c r="E360" s="73">
        <f t="shared" si="11"/>
        <v>25007.3</v>
      </c>
      <c r="F360" s="307">
        <f t="shared" si="12"/>
        <v>29.770595238095236</v>
      </c>
    </row>
    <row r="361" spans="1:6">
      <c r="A361" s="20" t="s">
        <v>74</v>
      </c>
      <c r="B361" s="116">
        <v>-12792.768</v>
      </c>
      <c r="C361" s="117">
        <v>-354</v>
      </c>
      <c r="D361" s="118">
        <v>12069.422</v>
      </c>
      <c r="E361" s="73">
        <f t="shared" si="11"/>
        <v>24862.190000000002</v>
      </c>
      <c r="F361" s="307">
        <f t="shared" si="12"/>
        <v>29.597845238095243</v>
      </c>
    </row>
    <row r="362" spans="1:6">
      <c r="A362" s="20" t="s">
        <v>80</v>
      </c>
      <c r="B362" s="116">
        <v>-12064.468000000001</v>
      </c>
      <c r="C362" s="117">
        <v>321</v>
      </c>
      <c r="D362" s="118">
        <v>12667.593999999999</v>
      </c>
      <c r="E362" s="73">
        <f t="shared" si="11"/>
        <v>24732.061999999998</v>
      </c>
      <c r="F362" s="307">
        <f t="shared" si="12"/>
        <v>29.442930952380951</v>
      </c>
    </row>
    <row r="363" spans="1:6">
      <c r="A363" s="20" t="s">
        <v>52</v>
      </c>
      <c r="B363" s="116">
        <v>-8793.5532000000003</v>
      </c>
      <c r="C363" s="117">
        <v>539</v>
      </c>
      <c r="D363" s="118">
        <v>9846.2875999999997</v>
      </c>
      <c r="E363" s="73">
        <f t="shared" si="11"/>
        <v>18639.840799999998</v>
      </c>
      <c r="F363" s="307">
        <f t="shared" ref="F363:F368" si="13">E363/(4*840)</f>
        <v>5.5475716666666663</v>
      </c>
    </row>
    <row r="364" spans="1:6">
      <c r="A364" s="20" t="s">
        <v>58</v>
      </c>
      <c r="B364" s="116">
        <v>-8511.8832000000002</v>
      </c>
      <c r="C364" s="117">
        <v>814</v>
      </c>
      <c r="D364" s="118">
        <v>10166.036</v>
      </c>
      <c r="E364" s="73">
        <f t="shared" si="11"/>
        <v>18677.9192</v>
      </c>
      <c r="F364" s="307">
        <f t="shared" si="13"/>
        <v>5.5589045238095238</v>
      </c>
    </row>
    <row r="365" spans="1:6">
      <c r="A365" s="20" t="s">
        <v>64</v>
      </c>
      <c r="B365" s="116">
        <v>-8430.9066000000003</v>
      </c>
      <c r="C365" s="117">
        <v>800</v>
      </c>
      <c r="D365" s="118">
        <v>10025.493399999999</v>
      </c>
      <c r="E365" s="73">
        <f t="shared" si="11"/>
        <v>18456.400000000001</v>
      </c>
      <c r="F365" s="307">
        <f t="shared" si="13"/>
        <v>5.4929761904761909</v>
      </c>
    </row>
    <row r="366" spans="1:6">
      <c r="A366" s="20" t="s">
        <v>70</v>
      </c>
      <c r="B366" s="116">
        <v>-10134.7426</v>
      </c>
      <c r="C366" s="117">
        <v>983</v>
      </c>
      <c r="D366" s="118">
        <v>12128.332</v>
      </c>
      <c r="E366" s="73">
        <f t="shared" si="11"/>
        <v>22263.0746</v>
      </c>
      <c r="F366" s="307">
        <f t="shared" si="13"/>
        <v>6.6259150595238099</v>
      </c>
    </row>
    <row r="367" spans="1:6">
      <c r="A367" s="20" t="s">
        <v>76</v>
      </c>
      <c r="B367" s="116">
        <v>-10512.31</v>
      </c>
      <c r="C367" s="117">
        <v>512</v>
      </c>
      <c r="D367" s="118">
        <v>11491.758</v>
      </c>
      <c r="E367" s="73">
        <f t="shared" si="11"/>
        <v>22004.067999999999</v>
      </c>
      <c r="F367" s="307">
        <f t="shared" si="13"/>
        <v>6.548829761904762</v>
      </c>
    </row>
    <row r="368" spans="1:6">
      <c r="A368" s="25" t="s">
        <v>82</v>
      </c>
      <c r="B368" s="121">
        <v>-11251.53</v>
      </c>
      <c r="C368" s="122">
        <v>-95</v>
      </c>
      <c r="D368" s="123">
        <v>11035.325999999999</v>
      </c>
      <c r="E368" s="80">
        <f t="shared" si="11"/>
        <v>22286.856</v>
      </c>
      <c r="F368" s="308">
        <f t="shared" si="13"/>
        <v>6.6329928571428569</v>
      </c>
    </row>
    <row r="371" spans="1:4">
      <c r="A371" s="37" t="s">
        <v>362</v>
      </c>
      <c r="B371" s="135" t="s">
        <v>363</v>
      </c>
    </row>
    <row r="372" spans="1:4" ht="18">
      <c r="A372" s="309"/>
      <c r="B372" s="527" t="s">
        <v>364</v>
      </c>
      <c r="C372" s="527"/>
      <c r="D372" s="527"/>
    </row>
    <row r="373" spans="1:4">
      <c r="A373" s="59" t="s">
        <v>143</v>
      </c>
      <c r="B373" s="310" t="s">
        <v>126</v>
      </c>
      <c r="C373" s="242" t="s">
        <v>129</v>
      </c>
      <c r="D373" s="311" t="s">
        <v>132</v>
      </c>
    </row>
    <row r="374" spans="1:4">
      <c r="A374" s="312" t="s">
        <v>365</v>
      </c>
      <c r="B374" s="196">
        <v>37</v>
      </c>
      <c r="C374" s="82">
        <v>124</v>
      </c>
      <c r="D374" s="313">
        <v>231</v>
      </c>
    </row>
    <row r="375" spans="1:4">
      <c r="A375" s="314" t="s">
        <v>366</v>
      </c>
      <c r="B375" s="193">
        <v>24642</v>
      </c>
      <c r="C375" s="69">
        <v>24647</v>
      </c>
      <c r="D375" s="300">
        <v>24589</v>
      </c>
    </row>
    <row r="376" spans="1:4">
      <c r="A376" s="314" t="s">
        <v>367</v>
      </c>
      <c r="B376" s="193">
        <v>625</v>
      </c>
      <c r="C376" s="69">
        <v>1165</v>
      </c>
      <c r="D376" s="300">
        <v>4065</v>
      </c>
    </row>
    <row r="377" spans="1:4">
      <c r="A377" s="314" t="s">
        <v>368</v>
      </c>
      <c r="B377" s="193">
        <v>24425</v>
      </c>
      <c r="C377" s="36">
        <v>24324</v>
      </c>
      <c r="D377" s="56">
        <v>24266</v>
      </c>
    </row>
    <row r="378" spans="1:4">
      <c r="A378" s="315" t="s">
        <v>369</v>
      </c>
      <c r="B378" s="194">
        <v>14073</v>
      </c>
      <c r="C378" s="53">
        <v>13642</v>
      </c>
      <c r="D378" s="57">
        <v>13829</v>
      </c>
    </row>
    <row r="379" spans="1:4" ht="15.75" thickBot="1"/>
    <row r="380" spans="1:4" ht="15.75" thickBot="1">
      <c r="A380" s="334" t="s">
        <v>389</v>
      </c>
      <c r="B380" s="316" t="s">
        <v>390</v>
      </c>
    </row>
    <row r="381" spans="1:4">
      <c r="A381" s="33" t="s">
        <v>370</v>
      </c>
      <c r="B381" s="55">
        <v>1007316891</v>
      </c>
    </row>
    <row r="382" spans="1:4">
      <c r="A382" s="321" t="s">
        <v>388</v>
      </c>
      <c r="B382" s="332">
        <v>1007321196</v>
      </c>
    </row>
    <row r="383" spans="1:4" ht="15.75" thickBot="1">
      <c r="A383" s="53" t="s">
        <v>371</v>
      </c>
      <c r="B383" s="333">
        <v>1007334800</v>
      </c>
    </row>
    <row r="385" spans="1:6" ht="15.75" thickBot="1"/>
    <row r="386" spans="1:6" ht="15.75" thickBot="1">
      <c r="A386" s="2"/>
      <c r="B386" s="323" t="s">
        <v>385</v>
      </c>
      <c r="C386" s="325" t="s">
        <v>386</v>
      </c>
      <c r="D386" s="323" t="s">
        <v>380</v>
      </c>
    </row>
    <row r="387" spans="1:6">
      <c r="A387" s="130" t="s">
        <v>372</v>
      </c>
      <c r="B387" s="33">
        <v>1007327576</v>
      </c>
      <c r="C387" s="324" t="s">
        <v>378</v>
      </c>
      <c r="D387" s="320">
        <v>40000</v>
      </c>
    </row>
    <row r="388" spans="1:6">
      <c r="A388" s="51" t="s">
        <v>373</v>
      </c>
      <c r="B388" s="36">
        <v>1007327824</v>
      </c>
      <c r="C388" s="319" t="s">
        <v>379</v>
      </c>
      <c r="D388" s="321">
        <v>-40000</v>
      </c>
    </row>
    <row r="389" spans="1:6">
      <c r="A389" s="51" t="s">
        <v>374</v>
      </c>
      <c r="B389" s="36">
        <v>1007328175</v>
      </c>
      <c r="C389" s="319" t="s">
        <v>381</v>
      </c>
      <c r="D389" s="321">
        <v>32000</v>
      </c>
    </row>
    <row r="390" spans="1:6">
      <c r="A390" s="51" t="s">
        <v>375</v>
      </c>
      <c r="B390" s="36">
        <v>1007328449</v>
      </c>
      <c r="C390" s="319" t="s">
        <v>382</v>
      </c>
      <c r="D390" s="321">
        <v>-32000</v>
      </c>
    </row>
    <row r="391" spans="1:6">
      <c r="A391" s="51" t="s">
        <v>376</v>
      </c>
      <c r="B391" s="36">
        <v>1007328907</v>
      </c>
      <c r="C391" s="193"/>
      <c r="D391" s="321" t="s">
        <v>383</v>
      </c>
    </row>
    <row r="392" spans="1:6" ht="15.75" thickBot="1">
      <c r="A392" s="133" t="s">
        <v>377</v>
      </c>
      <c r="B392" s="53">
        <v>1007329120</v>
      </c>
      <c r="C392" s="194"/>
      <c r="D392" s="322" t="s">
        <v>384</v>
      </c>
    </row>
    <row r="396" spans="1:6">
      <c r="A396" s="135" t="s">
        <v>342</v>
      </c>
      <c r="D396" s="135"/>
      <c r="E396" s="135"/>
      <c r="F396" s="135"/>
    </row>
    <row r="397" spans="1:6">
      <c r="D397" s="135"/>
      <c r="E397" s="135"/>
      <c r="F397" s="135"/>
    </row>
    <row r="398" spans="1:6" ht="15.75" thickBot="1">
      <c r="A398" s="335" t="s">
        <v>44</v>
      </c>
      <c r="D398" s="135"/>
      <c r="E398" s="135"/>
      <c r="F398" s="135"/>
    </row>
    <row r="399" spans="1:6" ht="15.75" thickBot="1">
      <c r="A399" s="336" t="s">
        <v>407</v>
      </c>
      <c r="B399" s="343" t="s">
        <v>236</v>
      </c>
      <c r="C399" s="336" t="s">
        <v>411</v>
      </c>
      <c r="D399" s="339" t="s">
        <v>415</v>
      </c>
      <c r="E399" s="316" t="s">
        <v>250</v>
      </c>
      <c r="F399" s="135"/>
    </row>
    <row r="400" spans="1:6">
      <c r="A400" s="320" t="s">
        <v>391</v>
      </c>
      <c r="B400" s="33">
        <v>12</v>
      </c>
      <c r="C400" s="130">
        <v>600</v>
      </c>
      <c r="D400" s="65">
        <f t="shared" ref="D400:D405" si="14">C400*0.45359</f>
        <v>272.154</v>
      </c>
      <c r="E400" s="351" t="s">
        <v>392</v>
      </c>
      <c r="F400" s="135"/>
    </row>
    <row r="401" spans="1:6">
      <c r="A401" s="321" t="s">
        <v>393</v>
      </c>
      <c r="B401" s="36">
        <v>1</v>
      </c>
      <c r="C401" s="317">
        <v>27.2</v>
      </c>
      <c r="D401" s="71">
        <f t="shared" si="14"/>
        <v>12.337648</v>
      </c>
      <c r="E401" s="352" t="s">
        <v>392</v>
      </c>
      <c r="F401" s="135"/>
    </row>
    <row r="402" spans="1:6">
      <c r="A402" s="344" t="s">
        <v>394</v>
      </c>
      <c r="B402" s="36">
        <v>13</v>
      </c>
      <c r="C402" s="317">
        <v>89.2</v>
      </c>
      <c r="D402" s="71">
        <f t="shared" si="14"/>
        <v>40.460228000000001</v>
      </c>
      <c r="E402" s="352" t="s">
        <v>395</v>
      </c>
      <c r="F402" s="135"/>
    </row>
    <row r="403" spans="1:6">
      <c r="A403" s="321" t="s">
        <v>396</v>
      </c>
      <c r="B403" s="36">
        <v>8</v>
      </c>
      <c r="C403" s="317">
        <v>55.7</v>
      </c>
      <c r="D403" s="71">
        <f t="shared" si="14"/>
        <v>25.264963000000002</v>
      </c>
      <c r="E403" s="352" t="s">
        <v>397</v>
      </c>
      <c r="F403" s="135"/>
    </row>
    <row r="404" spans="1:6" ht="15.75" thickBot="1">
      <c r="A404" s="322" t="s">
        <v>398</v>
      </c>
      <c r="B404" s="53">
        <v>2</v>
      </c>
      <c r="C404" s="133">
        <v>9</v>
      </c>
      <c r="D404" s="78">
        <f t="shared" si="14"/>
        <v>4.0823099999999997</v>
      </c>
      <c r="E404" s="353" t="s">
        <v>399</v>
      </c>
      <c r="F404" s="135"/>
    </row>
    <row r="405" spans="1:6" ht="15.75" thickBot="1">
      <c r="A405" s="135"/>
      <c r="B405" s="316" t="s">
        <v>258</v>
      </c>
      <c r="C405" s="316">
        <f>SUM(C400:C404)</f>
        <v>781.10000000000014</v>
      </c>
      <c r="D405" s="318">
        <f t="shared" si="14"/>
        <v>354.29914900000006</v>
      </c>
      <c r="E405" s="47"/>
      <c r="F405" s="135"/>
    </row>
    <row r="406" spans="1:6" ht="15.75" thickBot="1">
      <c r="A406" s="328" t="s">
        <v>44</v>
      </c>
      <c r="B406" s="2"/>
      <c r="D406" s="177"/>
      <c r="E406" s="177"/>
      <c r="F406" s="135"/>
    </row>
    <row r="407" spans="1:6" ht="15.75" thickBot="1">
      <c r="A407" s="105" t="s">
        <v>408</v>
      </c>
      <c r="B407" s="338" t="s">
        <v>236</v>
      </c>
      <c r="C407" s="336" t="s">
        <v>243</v>
      </c>
      <c r="D407" s="338" t="s">
        <v>410</v>
      </c>
      <c r="E407" s="338" t="s">
        <v>409</v>
      </c>
      <c r="F407" s="342" t="s">
        <v>250</v>
      </c>
    </row>
    <row r="408" spans="1:6">
      <c r="A408" s="285" t="s">
        <v>400</v>
      </c>
      <c r="B408" s="196">
        <v>6</v>
      </c>
      <c r="C408" s="33">
        <v>10</v>
      </c>
      <c r="D408" s="85">
        <f t="shared" ref="D408:D413" si="15">B408*C408</f>
        <v>60</v>
      </c>
      <c r="E408" s="65">
        <f t="shared" ref="E408:E414" si="16">D408/0.45359</f>
        <v>132.27804845785843</v>
      </c>
      <c r="F408" s="354" t="s">
        <v>401</v>
      </c>
    </row>
    <row r="409" spans="1:6">
      <c r="A409" s="140" t="s">
        <v>402</v>
      </c>
      <c r="B409" s="193">
        <v>6</v>
      </c>
      <c r="C409" s="60">
        <v>5</v>
      </c>
      <c r="D409" s="72">
        <f t="shared" si="15"/>
        <v>30</v>
      </c>
      <c r="E409" s="71">
        <f t="shared" si="16"/>
        <v>66.139024228929216</v>
      </c>
      <c r="F409" s="355" t="s">
        <v>401</v>
      </c>
    </row>
    <row r="410" spans="1:6">
      <c r="A410" s="140" t="s">
        <v>403</v>
      </c>
      <c r="B410" s="193">
        <v>6</v>
      </c>
      <c r="C410" s="60">
        <v>3</v>
      </c>
      <c r="D410" s="72">
        <f t="shared" si="15"/>
        <v>18</v>
      </c>
      <c r="E410" s="71">
        <f t="shared" si="16"/>
        <v>39.683414537357528</v>
      </c>
      <c r="F410" s="355" t="s">
        <v>401</v>
      </c>
    </row>
    <row r="411" spans="1:6">
      <c r="A411" s="140" t="s">
        <v>404</v>
      </c>
      <c r="B411" s="193">
        <v>6</v>
      </c>
      <c r="C411" s="60">
        <v>1</v>
      </c>
      <c r="D411" s="72">
        <f t="shared" si="15"/>
        <v>6</v>
      </c>
      <c r="E411" s="71">
        <f t="shared" si="16"/>
        <v>13.227804845785842</v>
      </c>
      <c r="F411" s="355" t="s">
        <v>401</v>
      </c>
    </row>
    <row r="412" spans="1:6">
      <c r="A412" s="140" t="s">
        <v>405</v>
      </c>
      <c r="B412" s="193">
        <v>6</v>
      </c>
      <c r="C412" s="60">
        <v>0.5</v>
      </c>
      <c r="D412" s="72">
        <f t="shared" si="15"/>
        <v>3</v>
      </c>
      <c r="E412" s="71">
        <f t="shared" si="16"/>
        <v>6.6139024228929211</v>
      </c>
      <c r="F412" s="355" t="s">
        <v>401</v>
      </c>
    </row>
    <row r="413" spans="1:6" ht="15.75" thickBot="1">
      <c r="A413" s="142" t="s">
        <v>406</v>
      </c>
      <c r="B413" s="194">
        <v>12</v>
      </c>
      <c r="C413" s="298">
        <v>0.25</v>
      </c>
      <c r="D413" s="79">
        <f t="shared" si="15"/>
        <v>3</v>
      </c>
      <c r="E413" s="78">
        <f t="shared" si="16"/>
        <v>6.6139024228929211</v>
      </c>
      <c r="F413" s="356" t="s">
        <v>401</v>
      </c>
    </row>
    <row r="414" spans="1:6" ht="15.75" thickBot="1">
      <c r="B414" s="2"/>
      <c r="C414" s="316" t="s">
        <v>258</v>
      </c>
      <c r="D414" s="357">
        <f>SUM(D408:D413)</f>
        <v>120</v>
      </c>
      <c r="E414" s="358">
        <f t="shared" si="16"/>
        <v>264.55609691571686</v>
      </c>
      <c r="F414" s="135"/>
    </row>
    <row r="415" spans="1:6">
      <c r="D415" s="135"/>
      <c r="E415" s="135"/>
      <c r="F415" s="135"/>
    </row>
    <row r="416" spans="1:6">
      <c r="A416" s="335" t="s">
        <v>43</v>
      </c>
      <c r="D416" s="135"/>
      <c r="E416" s="135"/>
      <c r="F416" s="135"/>
    </row>
    <row r="417" spans="1:6">
      <c r="A417" s="335"/>
      <c r="D417" s="135"/>
      <c r="E417" s="135"/>
      <c r="F417" s="135"/>
    </row>
    <row r="418" spans="1:6">
      <c r="D418" s="135"/>
      <c r="E418" s="135"/>
      <c r="F418" s="135"/>
    </row>
    <row r="419" spans="1:6">
      <c r="A419" s="135" t="s">
        <v>247</v>
      </c>
      <c r="B419" s="1">
        <v>12</v>
      </c>
      <c r="C419" s="177" t="s">
        <v>188</v>
      </c>
      <c r="D419" s="135"/>
      <c r="E419" s="135"/>
      <c r="F419" s="135"/>
    </row>
    <row r="420" spans="1:6">
      <c r="A420" s="135" t="s">
        <v>248</v>
      </c>
      <c r="B420" s="1">
        <v>10</v>
      </c>
      <c r="C420" s="177" t="s">
        <v>188</v>
      </c>
      <c r="D420" s="135"/>
      <c r="E420" s="135"/>
      <c r="F420" s="135"/>
    </row>
    <row r="421" spans="1:6">
      <c r="A421" s="135" t="s">
        <v>249</v>
      </c>
      <c r="B421" s="1">
        <v>10</v>
      </c>
      <c r="C421" s="177" t="s">
        <v>188</v>
      </c>
      <c r="D421" s="135"/>
      <c r="E421" s="135"/>
      <c r="F421" s="135"/>
    </row>
    <row r="422" spans="1:6">
      <c r="B422" s="328"/>
      <c r="D422" s="135"/>
      <c r="E422" s="135"/>
      <c r="F422" s="135"/>
    </row>
    <row r="423" spans="1:6" ht="15.75" thickBot="1">
      <c r="A423" s="37" t="s">
        <v>43</v>
      </c>
      <c r="B423" s="345"/>
      <c r="C423" s="345"/>
      <c r="D423" s="345"/>
      <c r="E423" s="135"/>
      <c r="F423" s="135"/>
    </row>
    <row r="424" spans="1:6" ht="15.75" thickBot="1">
      <c r="A424" s="348" t="s">
        <v>408</v>
      </c>
      <c r="B424" s="337" t="s">
        <v>250</v>
      </c>
      <c r="C424" s="336" t="s">
        <v>251</v>
      </c>
      <c r="D424" s="343" t="s">
        <v>243</v>
      </c>
      <c r="E424" s="340"/>
      <c r="F424" s="135"/>
    </row>
    <row r="425" spans="1:6">
      <c r="A425" s="349" t="s">
        <v>247</v>
      </c>
      <c r="B425" s="196" t="s">
        <v>252</v>
      </c>
      <c r="C425" s="33">
        <v>12</v>
      </c>
      <c r="D425" s="299">
        <f t="shared" ref="D425:D430" si="17">C425*0.458</f>
        <v>5.4960000000000004</v>
      </c>
      <c r="E425" s="135"/>
      <c r="F425" s="135"/>
    </row>
    <row r="426" spans="1:6">
      <c r="A426" s="115" t="s">
        <v>412</v>
      </c>
      <c r="B426" s="193" t="s">
        <v>253</v>
      </c>
      <c r="C426" s="36">
        <v>21.1</v>
      </c>
      <c r="D426" s="300">
        <f t="shared" si="17"/>
        <v>9.6638000000000002</v>
      </c>
      <c r="E426" s="135"/>
      <c r="F426" s="135"/>
    </row>
    <row r="427" spans="1:6">
      <c r="A427" s="350" t="s">
        <v>247</v>
      </c>
      <c r="B427" s="346" t="s">
        <v>254</v>
      </c>
      <c r="C427" s="36">
        <v>12</v>
      </c>
      <c r="D427" s="300">
        <f t="shared" si="17"/>
        <v>5.4960000000000004</v>
      </c>
      <c r="E427" s="135"/>
      <c r="F427" s="135"/>
    </row>
    <row r="428" spans="1:6">
      <c r="A428" s="115" t="s">
        <v>413</v>
      </c>
      <c r="B428" s="346" t="s">
        <v>255</v>
      </c>
      <c r="C428" s="36">
        <v>11.1</v>
      </c>
      <c r="D428" s="300">
        <f t="shared" si="17"/>
        <v>5.0838000000000001</v>
      </c>
      <c r="E428" s="135"/>
      <c r="F428" s="135"/>
    </row>
    <row r="429" spans="1:6">
      <c r="A429" s="350" t="s">
        <v>247</v>
      </c>
      <c r="B429" s="346" t="s">
        <v>256</v>
      </c>
      <c r="C429" s="36">
        <v>12</v>
      </c>
      <c r="D429" s="300">
        <f t="shared" si="17"/>
        <v>5.4960000000000004</v>
      </c>
      <c r="E429" s="135"/>
      <c r="F429" s="135"/>
    </row>
    <row r="430" spans="1:6" ht="15.75" thickBot="1">
      <c r="A430" s="120" t="s">
        <v>414</v>
      </c>
      <c r="B430" s="347" t="s">
        <v>257</v>
      </c>
      <c r="C430" s="199">
        <v>20.100000000000001</v>
      </c>
      <c r="D430" s="301">
        <f t="shared" si="17"/>
        <v>9.2058000000000018</v>
      </c>
      <c r="E430" s="135"/>
      <c r="F430" s="135"/>
    </row>
    <row r="431" spans="1:6" ht="15.75" thickBot="1">
      <c r="B431" s="341" t="s">
        <v>258</v>
      </c>
      <c r="C431" s="152">
        <f>SUM(C425:C430)</f>
        <v>88.300000000000011</v>
      </c>
      <c r="D431" s="302">
        <f>SUM(D425:D430)</f>
        <v>40.441400000000002</v>
      </c>
      <c r="E431" s="135"/>
      <c r="F431" s="135"/>
    </row>
    <row r="436" spans="1:3">
      <c r="A436" s="37" t="s">
        <v>416</v>
      </c>
    </row>
    <row r="438" spans="1:3">
      <c r="B438" s="1">
        <v>0.54126938346978903</v>
      </c>
      <c r="C438" s="2">
        <v>388.87726630475402</v>
      </c>
    </row>
    <row r="439" spans="1:3">
      <c r="B439" s="1" t="s">
        <v>417</v>
      </c>
      <c r="C439" s="2">
        <v>1.4961161000601599</v>
      </c>
    </row>
    <row r="440" spans="1:3">
      <c r="B440" s="1">
        <v>0.539061391515544</v>
      </c>
      <c r="C440" s="2">
        <v>594.95190572216904</v>
      </c>
    </row>
    <row r="441" spans="1:3">
      <c r="B441" s="1">
        <v>0.41657933231206401</v>
      </c>
      <c r="C441" s="2">
        <v>86.274832171476604</v>
      </c>
    </row>
    <row r="442" spans="1:3">
      <c r="B442" s="1">
        <v>0.41424028877702601</v>
      </c>
      <c r="C442" s="2">
        <v>-270.19891091400598</v>
      </c>
    </row>
    <row r="443" spans="1:3">
      <c r="B443" s="1">
        <v>0.41311499037591098</v>
      </c>
      <c r="C443" s="2">
        <v>382.77479619510802</v>
      </c>
    </row>
    <row r="444" spans="1:3">
      <c r="B444" s="1">
        <v>0.31152047510765102</v>
      </c>
      <c r="C444" s="2">
        <v>589.37528689021599</v>
      </c>
    </row>
    <row r="445" spans="1:3">
      <c r="B445" s="1">
        <v>0.31223954726370401</v>
      </c>
      <c r="C445" s="2">
        <v>833.22041326236297</v>
      </c>
    </row>
    <row r="446" spans="1:3">
      <c r="B446" s="1">
        <v>0.30772242858409998</v>
      </c>
      <c r="C446" s="2">
        <v>803.21915903489901</v>
      </c>
    </row>
    <row r="447" spans="1:3">
      <c r="B447" s="1">
        <v>0.372549227641915</v>
      </c>
      <c r="C447" s="2">
        <v>1077.32451069389</v>
      </c>
    </row>
    <row r="448" spans="1:3">
      <c r="B448" s="1">
        <v>0.368356841068398</v>
      </c>
      <c r="C448" s="2">
        <v>509.65244484737002</v>
      </c>
    </row>
    <row r="449" spans="1:6">
      <c r="B449" s="1">
        <v>0.37252110846360198</v>
      </c>
      <c r="C449" s="2">
        <v>-99.990258490744495</v>
      </c>
    </row>
    <row r="451" spans="1:6" ht="15.75" thickBot="1"/>
    <row r="452" spans="1:6" ht="51.75" thickBot="1">
      <c r="B452" s="183"/>
      <c r="C452" s="331" t="s">
        <v>195</v>
      </c>
      <c r="D452" s="185" t="s">
        <v>196</v>
      </c>
      <c r="E452" s="125" t="s">
        <v>197</v>
      </c>
      <c r="F452" s="126" t="s">
        <v>198</v>
      </c>
    </row>
    <row r="453" spans="1:6" ht="15.75" thickBot="1">
      <c r="A453" s="503" t="s">
        <v>43</v>
      </c>
      <c r="B453" s="58" t="s">
        <v>50</v>
      </c>
      <c r="C453" s="369">
        <v>0.54126938346978903</v>
      </c>
      <c r="D453" s="364">
        <v>388.87726630475402</v>
      </c>
      <c r="E453" s="534">
        <f>AVERAGE(C453:C455)</f>
        <v>0.54016538749266652</v>
      </c>
      <c r="F453" s="68">
        <f>100*(C453-$E$453)/$E$133</f>
        <v>0.20323510160549485</v>
      </c>
    </row>
    <row r="454" spans="1:6" ht="15.75" thickBot="1">
      <c r="A454" s="503"/>
      <c r="B454" s="35" t="s">
        <v>56</v>
      </c>
      <c r="C454" s="370"/>
      <c r="D454" s="365"/>
      <c r="E454" s="534"/>
      <c r="F454" s="74"/>
    </row>
    <row r="455" spans="1:6" ht="15.75" thickBot="1">
      <c r="A455" s="503"/>
      <c r="B455" s="52" t="s">
        <v>62</v>
      </c>
      <c r="C455" s="371">
        <v>0.539061391515544</v>
      </c>
      <c r="D455" s="366">
        <v>594.95190572216904</v>
      </c>
      <c r="E455" s="534"/>
      <c r="F455" s="81">
        <f>100*(C455-$E$453)/$E$133</f>
        <v>-0.20323510160549485</v>
      </c>
    </row>
    <row r="456" spans="1:6" ht="15.75" thickBot="1">
      <c r="A456" s="503"/>
      <c r="B456" s="32" t="s">
        <v>68</v>
      </c>
      <c r="C456" s="372">
        <v>0.41657933231206401</v>
      </c>
      <c r="D456" s="367">
        <v>86.274832171476604</v>
      </c>
      <c r="E456" s="534">
        <f>AVERAGE(C456:C458)</f>
        <v>0.41464487048833365</v>
      </c>
      <c r="F456" s="68">
        <f>100*(C456-$E$456)/$E$456</f>
        <v>0.46653460862837026</v>
      </c>
    </row>
    <row r="457" spans="1:6" ht="15.75" thickBot="1">
      <c r="A457" s="503"/>
      <c r="B457" s="35" t="s">
        <v>74</v>
      </c>
      <c r="C457" s="370">
        <v>0.41424028877702601</v>
      </c>
      <c r="D457" s="365">
        <v>-270.19891091400598</v>
      </c>
      <c r="E457" s="534"/>
      <c r="F457" s="74">
        <f>100*(C457-$E$456)/$E$456</f>
        <v>-9.7573065556353505E-2</v>
      </c>
    </row>
    <row r="458" spans="1:6" ht="15.75" thickBot="1">
      <c r="A458" s="503"/>
      <c r="B458" s="52" t="s">
        <v>80</v>
      </c>
      <c r="C458" s="373">
        <v>0.41311499037591098</v>
      </c>
      <c r="D458" s="368">
        <v>382.77479619510802</v>
      </c>
      <c r="E458" s="534"/>
      <c r="F458" s="81">
        <f>100*(C458-$E$456)/$E$456</f>
        <v>-0.36896154307200335</v>
      </c>
    </row>
    <row r="459" spans="1:6" ht="15.75" thickBot="1">
      <c r="A459" s="503" t="s">
        <v>44</v>
      </c>
      <c r="B459" s="58" t="s">
        <v>52</v>
      </c>
      <c r="C459" s="369">
        <v>0.31152047510765102</v>
      </c>
      <c r="D459" s="364">
        <v>589.37528689021599</v>
      </c>
      <c r="E459" s="534">
        <f>AVERAGE(C459:C461)</f>
        <v>0.31049415031848504</v>
      </c>
      <c r="F459" s="68">
        <f>100*(C459-$E$459)/$E$459</f>
        <v>0.33054561192642096</v>
      </c>
    </row>
    <row r="460" spans="1:6" ht="15.75" thickBot="1">
      <c r="A460" s="503"/>
      <c r="B460" s="35" t="s">
        <v>58</v>
      </c>
      <c r="C460" s="370">
        <v>0.31223954726370401</v>
      </c>
      <c r="D460" s="365">
        <v>833.22041326236297</v>
      </c>
      <c r="E460" s="534"/>
      <c r="F460" s="74">
        <f>100*(C460-$E$459)/$E$459</f>
        <v>0.5621352104149635</v>
      </c>
    </row>
    <row r="461" spans="1:6" ht="15.75" thickBot="1">
      <c r="A461" s="503"/>
      <c r="B461" s="52" t="s">
        <v>64</v>
      </c>
      <c r="C461" s="371">
        <v>0.30772242858409998</v>
      </c>
      <c r="D461" s="366">
        <v>803.21915903489901</v>
      </c>
      <c r="E461" s="534"/>
      <c r="F461" s="81">
        <f>100*(C461-$E$459)/$E$459</f>
        <v>-0.89268082234142021</v>
      </c>
    </row>
    <row r="462" spans="1:6" ht="15.75" thickBot="1">
      <c r="A462" s="503"/>
      <c r="B462" s="32" t="s">
        <v>70</v>
      </c>
      <c r="C462" s="372">
        <v>0.372549227641915</v>
      </c>
      <c r="D462" s="367">
        <v>1077.32451069389</v>
      </c>
      <c r="E462" s="534">
        <f>AVERAGE(C462:C464)</f>
        <v>0.37114239239130503</v>
      </c>
      <c r="F462" s="68">
        <f>100*(C462-$E$462)/$E$462</f>
        <v>0.37905539206814981</v>
      </c>
    </row>
    <row r="463" spans="1:6" ht="15.75" thickBot="1">
      <c r="A463" s="503"/>
      <c r="B463" s="35" t="s">
        <v>76</v>
      </c>
      <c r="C463" s="370">
        <v>0.368356841068398</v>
      </c>
      <c r="D463" s="365">
        <v>509.65244484737002</v>
      </c>
      <c r="E463" s="534"/>
      <c r="F463" s="74">
        <f>100*(C463-$E$462)/$E$462</f>
        <v>-0.75053439866016514</v>
      </c>
    </row>
    <row r="464" spans="1:6" ht="15.75" thickBot="1">
      <c r="A464" s="503"/>
      <c r="B464" s="52" t="s">
        <v>82</v>
      </c>
      <c r="C464" s="371">
        <v>0.37252110846360198</v>
      </c>
      <c r="D464" s="366">
        <v>-99.990258490744495</v>
      </c>
      <c r="E464" s="534"/>
      <c r="F464" s="81">
        <f>100*(C464-$E$462)/$E$462</f>
        <v>0.37147900659198541</v>
      </c>
    </row>
  </sheetData>
  <mergeCells count="66">
    <mergeCell ref="A5:B5"/>
    <mergeCell ref="A6:B6"/>
    <mergeCell ref="A7:B7"/>
    <mergeCell ref="A8:B8"/>
    <mergeCell ref="A9:B9"/>
    <mergeCell ref="A10:B10"/>
    <mergeCell ref="A11:B11"/>
    <mergeCell ref="A12:B13"/>
    <mergeCell ref="A14:B14"/>
    <mergeCell ref="A15:B15"/>
    <mergeCell ref="A16:B16"/>
    <mergeCell ref="A17:B17"/>
    <mergeCell ref="A18:B18"/>
    <mergeCell ref="A19:B19"/>
    <mergeCell ref="A20:B20"/>
    <mergeCell ref="A21:B21"/>
    <mergeCell ref="A24:B24"/>
    <mergeCell ref="E24:F24"/>
    <mergeCell ref="A74:B74"/>
    <mergeCell ref="C74:D74"/>
    <mergeCell ref="B80:C80"/>
    <mergeCell ref="D80:E80"/>
    <mergeCell ref="B87:C87"/>
    <mergeCell ref="D87:E87"/>
    <mergeCell ref="B88:C88"/>
    <mergeCell ref="D88:E88"/>
    <mergeCell ref="F88:G88"/>
    <mergeCell ref="O88:P88"/>
    <mergeCell ref="A133:A138"/>
    <mergeCell ref="E133:E135"/>
    <mergeCell ref="E136:E138"/>
    <mergeCell ref="A139:A144"/>
    <mergeCell ref="E139:E141"/>
    <mergeCell ref="E142:E144"/>
    <mergeCell ref="B148:E148"/>
    <mergeCell ref="D169:I169"/>
    <mergeCell ref="B171:B176"/>
    <mergeCell ref="D179:I179"/>
    <mergeCell ref="B181:B186"/>
    <mergeCell ref="B190:B195"/>
    <mergeCell ref="B199:B204"/>
    <mergeCell ref="D206:I206"/>
    <mergeCell ref="B208:B213"/>
    <mergeCell ref="D215:I215"/>
    <mergeCell ref="B217:B222"/>
    <mergeCell ref="B253:D253"/>
    <mergeCell ref="B372:D372"/>
    <mergeCell ref="B280:C280"/>
    <mergeCell ref="D280:E280"/>
    <mergeCell ref="F280:G280"/>
    <mergeCell ref="B326:B331"/>
    <mergeCell ref="D333:I333"/>
    <mergeCell ref="B335:B340"/>
    <mergeCell ref="D342:I342"/>
    <mergeCell ref="B344:B349"/>
    <mergeCell ref="D296:I296"/>
    <mergeCell ref="B298:B303"/>
    <mergeCell ref="D306:I306"/>
    <mergeCell ref="B308:B313"/>
    <mergeCell ref="B317:B322"/>
    <mergeCell ref="A453:A458"/>
    <mergeCell ref="E453:E455"/>
    <mergeCell ref="E456:E458"/>
    <mergeCell ref="A459:A464"/>
    <mergeCell ref="E459:E461"/>
    <mergeCell ref="E462:E464"/>
  </mergeCells>
  <pageMargins left="0.7" right="0.7" top="0.75" bottom="0.75" header="0.51180555555555496" footer="0.51180555555555496"/>
  <pageSetup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Staging building</vt:lpstr>
      <vt:lpstr>LVEA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vincent.lhuillier</dc:creator>
  <cp:lastModifiedBy>Vincent Lhuillier</cp:lastModifiedBy>
  <cp:revision>0</cp:revision>
  <dcterms:created xsi:type="dcterms:W3CDTF">2011-12-07T21:27:43Z</dcterms:created>
  <dcterms:modified xsi:type="dcterms:W3CDTF">2013-01-29T18:28:40Z</dcterms:modified>
</cp:coreProperties>
</file>