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5" windowWidth="13605" windowHeight="11580"/>
  </bookViews>
  <sheets>
    <sheet name="Staging building" sheetId="1" r:id="rId1"/>
    <sheet name="LVEA" sheetId="2" r:id="rId2"/>
  </sheets>
  <calcPr calcId="125725"/>
</workbook>
</file>

<file path=xl/calcChain.xml><?xml version="1.0" encoding="utf-8"?>
<calcChain xmlns="http://schemas.openxmlformats.org/spreadsheetml/2006/main">
  <c r="D342" i="1"/>
  <c r="D337"/>
  <c r="D338"/>
  <c r="D339"/>
  <c r="D340"/>
  <c r="D341"/>
  <c r="D336"/>
  <c r="F355"/>
  <c r="F356"/>
  <c r="F357"/>
  <c r="F358"/>
  <c r="F359"/>
  <c r="F360"/>
  <c r="F354"/>
  <c r="C338"/>
  <c r="E338" s="1"/>
  <c r="C337"/>
  <c r="E337" s="1"/>
  <c r="E339"/>
  <c r="E340"/>
  <c r="E341"/>
  <c r="C336"/>
  <c r="C355"/>
  <c r="C356"/>
  <c r="C357"/>
  <c r="C358"/>
  <c r="C359"/>
  <c r="C354"/>
  <c r="D258" i="2"/>
  <c r="C258"/>
  <c r="D257"/>
  <c r="D256"/>
  <c r="D255"/>
  <c r="D254"/>
  <c r="D253"/>
  <c r="D252"/>
  <c r="B360" i="1"/>
  <c r="B368"/>
  <c r="B369"/>
  <c r="B367"/>
  <c r="A376"/>
  <c r="F346"/>
  <c r="I340"/>
  <c r="J340"/>
  <c r="I339"/>
  <c r="J339"/>
  <c r="I341"/>
  <c r="J341"/>
  <c r="I338"/>
  <c r="J338"/>
  <c r="I337"/>
  <c r="J337"/>
  <c r="I336"/>
  <c r="J336"/>
  <c r="B228"/>
  <c r="E121"/>
  <c r="E117"/>
  <c r="E113"/>
  <c r="E114"/>
  <c r="E115"/>
  <c r="D113"/>
  <c r="D114"/>
  <c r="D115"/>
  <c r="D117"/>
  <c r="E112"/>
  <c r="D112"/>
  <c r="D239" i="2"/>
  <c r="D238"/>
  <c r="D237"/>
  <c r="D236"/>
  <c r="C235"/>
  <c r="D235"/>
  <c r="C234"/>
  <c r="D234"/>
  <c r="E141"/>
  <c r="F143"/>
  <c r="E138"/>
  <c r="F138"/>
  <c r="E135"/>
  <c r="F137"/>
  <c r="E132"/>
  <c r="F132"/>
  <c r="E127"/>
  <c r="F127"/>
  <c r="E126"/>
  <c r="F126"/>
  <c r="E125"/>
  <c r="F125"/>
  <c r="E124"/>
  <c r="F124"/>
  <c r="E123"/>
  <c r="F123"/>
  <c r="E122"/>
  <c r="F122"/>
  <c r="E121"/>
  <c r="F121"/>
  <c r="E120"/>
  <c r="F120"/>
  <c r="E119"/>
  <c r="F119"/>
  <c r="E118"/>
  <c r="F118"/>
  <c r="E117"/>
  <c r="F117"/>
  <c r="F116"/>
  <c r="E116"/>
  <c r="F100"/>
  <c r="G100"/>
  <c r="F99"/>
  <c r="G99"/>
  <c r="F98"/>
  <c r="G98"/>
  <c r="F97"/>
  <c r="G97"/>
  <c r="F96"/>
  <c r="G96"/>
  <c r="F95"/>
  <c r="G95"/>
  <c r="F94"/>
  <c r="G94"/>
  <c r="F93"/>
  <c r="G93"/>
  <c r="F92"/>
  <c r="G92"/>
  <c r="F91"/>
  <c r="G91"/>
  <c r="F90"/>
  <c r="G90"/>
  <c r="F89"/>
  <c r="G89"/>
  <c r="E336" i="1"/>
  <c r="E239"/>
  <c r="F239"/>
  <c r="E242"/>
  <c r="F244"/>
  <c r="E236"/>
  <c r="F238"/>
  <c r="E233"/>
  <c r="F234"/>
  <c r="F138"/>
  <c r="E129"/>
  <c r="F129"/>
  <c r="E130"/>
  <c r="F130"/>
  <c r="E131"/>
  <c r="F131"/>
  <c r="E132"/>
  <c r="F132"/>
  <c r="E133"/>
  <c r="F133"/>
  <c r="E134"/>
  <c r="F134"/>
  <c r="E135"/>
  <c r="F135"/>
  <c r="E136"/>
  <c r="F136"/>
  <c r="E137"/>
  <c r="F137"/>
  <c r="E138"/>
  <c r="E139"/>
  <c r="F139"/>
  <c r="E128"/>
  <c r="F128"/>
  <c r="F95"/>
  <c r="G95"/>
  <c r="F96"/>
  <c r="G96"/>
  <c r="F97"/>
  <c r="G97"/>
  <c r="F98"/>
  <c r="G98"/>
  <c r="F99"/>
  <c r="G99"/>
  <c r="F100"/>
  <c r="G100"/>
  <c r="F101"/>
  <c r="G101"/>
  <c r="F102"/>
  <c r="G102"/>
  <c r="F103"/>
  <c r="G103"/>
  <c r="F104"/>
  <c r="G104"/>
  <c r="F105"/>
  <c r="G105"/>
  <c r="F94"/>
  <c r="G94"/>
  <c r="B229"/>
  <c r="B223"/>
  <c r="J218"/>
  <c r="F218"/>
  <c r="J217"/>
  <c r="F217"/>
  <c r="J216"/>
  <c r="F216"/>
  <c r="B208"/>
  <c r="J204"/>
  <c r="J203"/>
  <c r="J202"/>
  <c r="F203"/>
  <c r="F204"/>
  <c r="F202"/>
  <c r="I185"/>
  <c r="I175"/>
  <c r="I178"/>
  <c r="I183"/>
  <c r="G181"/>
  <c r="G182"/>
  <c r="F181"/>
  <c r="F182"/>
  <c r="F180"/>
  <c r="G180"/>
  <c r="E171"/>
  <c r="E172"/>
  <c r="E170"/>
  <c r="C196"/>
  <c r="D196"/>
  <c r="E196"/>
  <c r="C194"/>
  <c r="D194"/>
  <c r="E194"/>
  <c r="E197"/>
  <c r="C190"/>
  <c r="D190"/>
  <c r="E190"/>
  <c r="C189"/>
  <c r="D189"/>
  <c r="E189"/>
  <c r="C188"/>
  <c r="D188"/>
  <c r="E188"/>
  <c r="E191"/>
  <c r="E164"/>
  <c r="E163"/>
  <c r="E162"/>
  <c r="D159"/>
  <c r="C159"/>
  <c r="E151"/>
  <c r="E150"/>
  <c r="E149"/>
  <c r="D146"/>
  <c r="C146"/>
  <c r="C360"/>
  <c r="F235"/>
  <c r="F233"/>
  <c r="F243"/>
  <c r="F236"/>
  <c r="J342"/>
  <c r="F242"/>
  <c r="K216"/>
  <c r="F240"/>
  <c r="F142" i="2"/>
  <c r="F135"/>
  <c r="F134"/>
  <c r="F133"/>
  <c r="F141"/>
  <c r="F140"/>
  <c r="F139"/>
  <c r="D240"/>
  <c r="F136"/>
  <c r="E165" i="1"/>
  <c r="K202"/>
  <c r="F241"/>
  <c r="F237"/>
  <c r="K218"/>
  <c r="G183"/>
  <c r="G184"/>
  <c r="G185"/>
  <c r="G187"/>
  <c r="C195"/>
  <c r="D195"/>
  <c r="E195"/>
  <c r="E173"/>
  <c r="I173"/>
  <c r="E152"/>
  <c r="E146"/>
  <c r="K217"/>
  <c r="F183"/>
  <c r="F184"/>
  <c r="F185"/>
  <c r="K204"/>
  <c r="E159"/>
  <c r="K203"/>
  <c r="K219"/>
  <c r="K220"/>
  <c r="B225"/>
  <c r="B226"/>
  <c r="K205"/>
  <c r="K206"/>
  <c r="B210"/>
  <c r="B211"/>
  <c r="E174"/>
  <c r="E175"/>
  <c r="E176"/>
  <c r="E342" l="1"/>
</calcChain>
</file>

<file path=xl/sharedStrings.xml><?xml version="1.0" encoding="utf-8"?>
<sst xmlns="http://schemas.openxmlformats.org/spreadsheetml/2006/main" count="1129" uniqueCount="369">
  <si>
    <t>BSC-ISI</t>
  </si>
  <si>
    <t>Hardware</t>
  </si>
  <si>
    <t>Ligo reference</t>
  </si>
  <si>
    <t>S/N</t>
  </si>
  <si>
    <t>Rack #</t>
  </si>
  <si>
    <t>Anti-image Chassis</t>
  </si>
  <si>
    <t>Binary Input Chassis</t>
  </si>
  <si>
    <t>Binary Output Chassis</t>
  </si>
  <si>
    <t>Coil driver Pod 1</t>
  </si>
  <si>
    <t>Coil driver Pod 2</t>
  </si>
  <si>
    <t>Coil driver Pod 3</t>
  </si>
  <si>
    <t>T240 Interface Pod 1</t>
  </si>
  <si>
    <t>T240 Interface Pod 2</t>
  </si>
  <si>
    <t>T240 Interface Pod 3</t>
  </si>
  <si>
    <t>Interface Chassis Pod 1</t>
  </si>
  <si>
    <t>Interface Chassis Pod 2</t>
  </si>
  <si>
    <t>Interface Chassis Pod 3</t>
  </si>
  <si>
    <t>Electronics Inventory</t>
  </si>
  <si>
    <t>Actuator</t>
  </si>
  <si>
    <t>Actuator S/N</t>
  </si>
  <si>
    <t>H1</t>
  </si>
  <si>
    <t>H2</t>
  </si>
  <si>
    <t>H3</t>
  </si>
  <si>
    <t>V1</t>
  </si>
  <si>
    <t>V2</t>
  </si>
  <si>
    <t>V3</t>
  </si>
  <si>
    <t>Step  2 - Sensors inventory</t>
  </si>
  <si>
    <t>CPS S/N</t>
  </si>
  <si>
    <t>Mount S/N</t>
  </si>
  <si>
    <t>ADE board serial #</t>
  </si>
  <si>
    <t>Geophones GS13</t>
  </si>
  <si>
    <t>Serial Number</t>
  </si>
  <si>
    <t>POD</t>
  </si>
  <si>
    <t>Adaptor</t>
  </si>
  <si>
    <t>Stage 1</t>
  </si>
  <si>
    <t>Stage 2</t>
  </si>
  <si>
    <t>Geophones L4C</t>
  </si>
  <si>
    <t>Lockers</t>
  </si>
  <si>
    <t>Shim thickness (mil)</t>
  </si>
  <si>
    <t>A</t>
  </si>
  <si>
    <t>B</t>
  </si>
  <si>
    <t>C</t>
  </si>
  <si>
    <t>D.I at Lockers</t>
  </si>
  <si>
    <t>Dial indicators V</t>
  </si>
  <si>
    <t>Dial indicators H</t>
  </si>
  <si>
    <t>Table locked</t>
  </si>
  <si>
    <t>Sensors</t>
  </si>
  <si>
    <t>Offset (Mean)</t>
  </si>
  <si>
    <t>Std deviation</t>
  </si>
  <si>
    <t>ST1 - H1</t>
  </si>
  <si>
    <t>ST1 - H2</t>
  </si>
  <si>
    <t>ST1 - H3</t>
  </si>
  <si>
    <t>ST1 - V1</t>
  </si>
  <si>
    <t>ST1 - V2</t>
  </si>
  <si>
    <t>ST1 - V3</t>
  </si>
  <si>
    <t>ST2 - H1</t>
  </si>
  <si>
    <t>ST2 - H2</t>
  </si>
  <si>
    <t>ST2 - H3</t>
  </si>
  <si>
    <t>ST2 - V1</t>
  </si>
  <si>
    <t>ST2 - V2</t>
  </si>
  <si>
    <t>ST2 - V3</t>
  </si>
  <si>
    <t>Table unlocked</t>
  </si>
  <si>
    <t>Diff</t>
  </si>
  <si>
    <t>Push in positive direction</t>
  </si>
  <si>
    <t>Push in negative direction</t>
  </si>
  <si>
    <t>Railing</t>
  </si>
  <si>
    <t>Actuator Gap Check</t>
  </si>
  <si>
    <t>Difference locked - unlocked</t>
  </si>
  <si>
    <t>Average</t>
  </si>
  <si>
    <t>Actuators</t>
  </si>
  <si>
    <t>Anti image pin #</t>
  </si>
  <si>
    <t>Resistance (Ohm)</t>
  </si>
  <si>
    <t>Cable #</t>
  </si>
  <si>
    <t>CD Voltage
for 1000 cts offset</t>
  </si>
  <si>
    <t>POD 3</t>
  </si>
  <si>
    <t>Negative drive</t>
  </si>
  <si>
    <t>Positive drive</t>
  </si>
  <si>
    <t>Sensor readout (counts)</t>
  </si>
  <si>
    <t>D.I readout with for
a negative drive</t>
  </si>
  <si>
    <t>D.I readout with for
a positive drive</t>
  </si>
  <si>
    <t>Counts</t>
  </si>
  <si>
    <t>Difference (Counts)</t>
  </si>
  <si>
    <t>Mean diff m</t>
  </si>
  <si>
    <t>K (N/m)</t>
  </si>
  <si>
    <t>Average (N/m)</t>
  </si>
  <si>
    <t>Mean diff (counts)</t>
  </si>
  <si>
    <t>Slope</t>
  </si>
  <si>
    <t>Offset</t>
  </si>
  <si>
    <t>Average slope</t>
  </si>
  <si>
    <t>Variation from
average(%)</t>
  </si>
  <si>
    <t>Geophones T240</t>
  </si>
  <si>
    <t>Day 1</t>
  </si>
  <si>
    <t>Day 2</t>
  </si>
  <si>
    <t>Day 3</t>
  </si>
  <si>
    <t>Day 4</t>
  </si>
  <si>
    <t>L4C - H1</t>
  </si>
  <si>
    <t>L4C - H2</t>
  </si>
  <si>
    <t>L4C - H3</t>
  </si>
  <si>
    <t>L4C - V1</t>
  </si>
  <si>
    <t>L4C - V2</t>
  </si>
  <si>
    <t>L4C - V3</t>
  </si>
  <si>
    <t>GS13 - H1</t>
  </si>
  <si>
    <t>GS13 - H2</t>
  </si>
  <si>
    <t>GS13 - H3</t>
  </si>
  <si>
    <t>GS13 - V1</t>
  </si>
  <si>
    <t>GS13 - V2</t>
  </si>
  <si>
    <t>GS13 - V3</t>
  </si>
  <si>
    <t>Pressure (count)</t>
  </si>
  <si>
    <t>T240 - 1</t>
  </si>
  <si>
    <t>T240 - 2</t>
  </si>
  <si>
    <t>T240 - 3</t>
  </si>
  <si>
    <t>CPS Stage 1</t>
  </si>
  <si>
    <t>CPS Stage 2</t>
  </si>
  <si>
    <t>Resistance</t>
  </si>
  <si>
    <t>Coil 2 Coarse 2</t>
  </si>
  <si>
    <t>Coil 1 Fine 1</t>
  </si>
  <si>
    <t>Coil 1 Fine 2</t>
  </si>
  <si>
    <t>Coil 1 Coarse 2</t>
  </si>
  <si>
    <t>Coil 2 Fine 1</t>
  </si>
  <si>
    <t>Coil 2 Fine 2</t>
  </si>
  <si>
    <t>Coil 3 Coarse 2</t>
  </si>
  <si>
    <t>Coil 3 Fine 1</t>
  </si>
  <si>
    <t>Coil 3 Fine 2</t>
  </si>
  <si>
    <t>Coil1 Coarse 1</t>
  </si>
  <si>
    <t>Coil 3 Coarse 1</t>
  </si>
  <si>
    <t>rail</t>
  </si>
  <si>
    <t>OK</t>
  </si>
  <si>
    <t>No load</t>
  </si>
  <si>
    <t>Load</t>
  </si>
  <si>
    <t>ST1 locked - ST2 unlocked</t>
  </si>
  <si>
    <t>ST1 unlocked - ST2 locked</t>
  </si>
  <si>
    <t>Load 30Kg</t>
  </si>
  <si>
    <t>3x5Kg</t>
  </si>
  <si>
    <t>count</t>
  </si>
  <si>
    <t>KN/m</t>
  </si>
  <si>
    <t>Diff 1</t>
  </si>
  <si>
    <t>Diff 2</t>
  </si>
  <si>
    <t>Cout/mil</t>
  </si>
  <si>
    <t>lb/in</t>
  </si>
  <si>
    <t>Ct/m</t>
  </si>
  <si>
    <t>Ct/mil</t>
  </si>
  <si>
    <t>mil</t>
  </si>
  <si>
    <t>We replace the sensor and the board</t>
  </si>
  <si>
    <t>We replace the board only</t>
  </si>
  <si>
    <t>?</t>
  </si>
  <si>
    <t>Meas 1</t>
  </si>
  <si>
    <t>Meas 2</t>
  </si>
  <si>
    <t>Meas 3</t>
  </si>
  <si>
    <t>Mass</t>
  </si>
  <si>
    <t>g</t>
  </si>
  <si>
    <t>lb</t>
  </si>
  <si>
    <t>K</t>
  </si>
  <si>
    <t>%</t>
  </si>
  <si>
    <t>24</t>
  </si>
  <si>
    <t>41</t>
  </si>
  <si>
    <t>42</t>
  </si>
  <si>
    <t>43</t>
  </si>
  <si>
    <t>56</t>
  </si>
  <si>
    <t>63</t>
  </si>
  <si>
    <t>61</t>
  </si>
  <si>
    <t>57</t>
  </si>
  <si>
    <t>62</t>
  </si>
  <si>
    <t>85</t>
  </si>
  <si>
    <t>90</t>
  </si>
  <si>
    <t>68</t>
  </si>
  <si>
    <t>no drive</t>
  </si>
  <si>
    <t>Amplitude count</t>
  </si>
  <si>
    <t>Test Local drive</t>
  </si>
  <si>
    <t>Test Cartesian drive</t>
  </si>
  <si>
    <t>ST1 - X</t>
  </si>
  <si>
    <t>ST1 - Y</t>
  </si>
  <si>
    <t>ST1 - Z</t>
  </si>
  <si>
    <t>ST1 - RX</t>
  </si>
  <si>
    <t>ST1 - RY</t>
  </si>
  <si>
    <t>ST1 - RZ</t>
  </si>
  <si>
    <t>ST2 - X</t>
  </si>
  <si>
    <t>ST2 - Y</t>
  </si>
  <si>
    <t>ST2 - Z</t>
  </si>
  <si>
    <t>ST2 - RY</t>
  </si>
  <si>
    <t>ST2 - RZ</t>
  </si>
  <si>
    <t>ST2 - RX</t>
  </si>
  <si>
    <t>ST1 H1</t>
  </si>
  <si>
    <t>ST2 H1</t>
  </si>
  <si>
    <t>ST2 V1</t>
  </si>
  <si>
    <t>ST1 V1</t>
  </si>
  <si>
    <t>ST1 H2</t>
  </si>
  <si>
    <t>ST2 H2</t>
  </si>
  <si>
    <t>ST2 V2</t>
  </si>
  <si>
    <t>ST1 V2</t>
  </si>
  <si>
    <t>ST1 H3</t>
  </si>
  <si>
    <t>ST2 H3</t>
  </si>
  <si>
    <t>ST2 V3</t>
  </si>
  <si>
    <t>ST1 V3</t>
  </si>
  <si>
    <t>Coil driver name</t>
  </si>
  <si>
    <t>Unloaded</t>
  </si>
  <si>
    <t>Loaded</t>
  </si>
  <si>
    <t>Stage1</t>
  </si>
  <si>
    <t>Second Measurements</t>
  </si>
  <si>
    <t>Load 15 Kg</t>
  </si>
  <si>
    <t>Calibration check on stage 2 + first blade stiffnes measurements</t>
  </si>
  <si>
    <t>Corner 1</t>
  </si>
  <si>
    <t>Corner 2</t>
  </si>
  <si>
    <t>Corner 3</t>
  </si>
  <si>
    <t>Stage 0-1</t>
  </si>
  <si>
    <t>Stage 1-2</t>
  </si>
  <si>
    <t>0.127"</t>
  </si>
  <si>
    <t>0.125"</t>
  </si>
  <si>
    <t>0.126"</t>
  </si>
  <si>
    <t>0.122"</t>
  </si>
  <si>
    <t>0.130"</t>
  </si>
  <si>
    <t>Mass Budget</t>
  </si>
  <si>
    <t>Quantity</t>
  </si>
  <si>
    <t>Weight</t>
  </si>
  <si>
    <t>Kg</t>
  </si>
  <si>
    <t>1 type 4</t>
  </si>
  <si>
    <t>1type 3</t>
  </si>
  <si>
    <t>2 type 2 + 1 type 3</t>
  </si>
  <si>
    <t>Unit</t>
  </si>
  <si>
    <t>D0902612</t>
  </si>
  <si>
    <t>D0902614</t>
  </si>
  <si>
    <t>D0902615</t>
  </si>
  <si>
    <t>Long cables</t>
  </si>
  <si>
    <t>Stage 0-1 Corner 2</t>
  </si>
  <si>
    <t>Mil</t>
  </si>
  <si>
    <t>No sensor</t>
  </si>
  <si>
    <t>LVEA</t>
  </si>
  <si>
    <t>D1002432</t>
  </si>
  <si>
    <t>D1002433</t>
  </si>
  <si>
    <t>D1002434</t>
  </si>
  <si>
    <t>S1102228</t>
  </si>
  <si>
    <t>S1102230</t>
  </si>
  <si>
    <t>S1102229</t>
  </si>
  <si>
    <t>D1002693</t>
  </si>
  <si>
    <t>D1002694</t>
  </si>
  <si>
    <t>Anti-alliasing Chassis</t>
  </si>
  <si>
    <t>S1103404</t>
  </si>
  <si>
    <t>S1103405</t>
  </si>
  <si>
    <t>S1103402</t>
  </si>
  <si>
    <t>D1001726</t>
  </si>
  <si>
    <t>S1101284</t>
  </si>
  <si>
    <t>S1101280</t>
  </si>
  <si>
    <t>S1101319</t>
  </si>
  <si>
    <t>S1103177</t>
  </si>
  <si>
    <t>S1103181</t>
  </si>
  <si>
    <t>S1103180</t>
  </si>
  <si>
    <t>D1001728</t>
  </si>
  <si>
    <t>D1000305</t>
  </si>
  <si>
    <t>S1103564</t>
  </si>
  <si>
    <t>S1103563</t>
  </si>
  <si>
    <t>S1103356</t>
  </si>
  <si>
    <t>D0902744</t>
  </si>
  <si>
    <t>S1103502</t>
  </si>
  <si>
    <t>X</t>
  </si>
  <si>
    <r>
      <t>Resistance (</t>
    </r>
    <r>
      <rPr>
        <b/>
        <sz val="11"/>
        <color theme="1"/>
        <rFont val="Calibri"/>
        <family val="2"/>
      </rPr>
      <t>Ω</t>
    </r>
    <r>
      <rPr>
        <b/>
        <sz val="11"/>
        <color theme="1"/>
        <rFont val="Calibri"/>
        <family val="2"/>
        <scheme val="minor"/>
      </rPr>
      <t>)</t>
    </r>
  </si>
  <si>
    <t>Stage 2 - Platform move for 32K counts</t>
  </si>
  <si>
    <t>Stage 1 - Platform move for 32K counts</t>
  </si>
  <si>
    <t>coef*U/(K*R)</t>
  </si>
  <si>
    <t>Error with nominal</t>
  </si>
  <si>
    <t>Reference value stage 2</t>
  </si>
  <si>
    <t>Reference value stage 1</t>
  </si>
  <si>
    <t>12649</t>
  </si>
  <si>
    <t>2822-V</t>
  </si>
  <si>
    <t>12956</t>
  </si>
  <si>
    <t>12504</t>
  </si>
  <si>
    <t>12949</t>
  </si>
  <si>
    <t>12384</t>
  </si>
  <si>
    <t>12959</t>
  </si>
  <si>
    <t>12372</t>
  </si>
  <si>
    <t>12943</t>
  </si>
  <si>
    <t>12910</t>
  </si>
  <si>
    <t>12512</t>
  </si>
  <si>
    <t>12952</t>
  </si>
  <si>
    <t>12381</t>
  </si>
  <si>
    <t>12950</t>
  </si>
  <si>
    <t>12378</t>
  </si>
  <si>
    <t>12940</t>
  </si>
  <si>
    <t>12413</t>
  </si>
  <si>
    <t>12939</t>
  </si>
  <si>
    <t>12580</t>
  </si>
  <si>
    <t>12953</t>
  </si>
  <si>
    <t>12430</t>
  </si>
  <si>
    <t>12960</t>
  </si>
  <si>
    <t>12423</t>
  </si>
  <si>
    <t>12938</t>
  </si>
  <si>
    <t>XX</t>
  </si>
  <si>
    <t>Type 4</t>
  </si>
  <si>
    <t>Type 3</t>
  </si>
  <si>
    <t>Type 2</t>
  </si>
  <si>
    <t>Location</t>
  </si>
  <si>
    <t>Weight (lb)</t>
  </si>
  <si>
    <t>C1-1</t>
  </si>
  <si>
    <t>C1-2</t>
  </si>
  <si>
    <t>C2-1</t>
  </si>
  <si>
    <t>C2-2</t>
  </si>
  <si>
    <t>C3-1</t>
  </si>
  <si>
    <t>C3-2</t>
  </si>
  <si>
    <t>Thickness</t>
  </si>
  <si>
    <t>Mass(lb)</t>
  </si>
  <si>
    <t>lb/in3</t>
  </si>
  <si>
    <t>Density (ASI 304)</t>
  </si>
  <si>
    <t>Surface</t>
  </si>
  <si>
    <t>D0902616-1</t>
  </si>
  <si>
    <t>D0902616-2</t>
  </si>
  <si>
    <t>D0902616-3</t>
  </si>
  <si>
    <t>D0902616-4</t>
  </si>
  <si>
    <t>D0902616-5</t>
  </si>
  <si>
    <t>weight</t>
  </si>
  <si>
    <t>BSC-ISI - BSC8</t>
  </si>
  <si>
    <t>Total</t>
  </si>
  <si>
    <t>Weight (Kg)</t>
  </si>
  <si>
    <t>Total Weight(Kg)</t>
  </si>
  <si>
    <t xml:space="preserve">Total : </t>
  </si>
  <si>
    <t>Interface Chassis - Corner 1</t>
  </si>
  <si>
    <t>S1102222</t>
  </si>
  <si>
    <t>Interface Chassis - Corner 2</t>
  </si>
  <si>
    <t>S1102224</t>
  </si>
  <si>
    <t>Interface Chassis - Corner 3</t>
  </si>
  <si>
    <t>S1102218</t>
  </si>
  <si>
    <t>Anti-Alliasing Chassis - Corner 1</t>
  </si>
  <si>
    <t>S1102693</t>
  </si>
  <si>
    <t>Anti-Alliasing Chassis - Corner 2</t>
  </si>
  <si>
    <t>S1102694</t>
  </si>
  <si>
    <t>Anti-Alliasing Chassis - Corner 3</t>
  </si>
  <si>
    <t>S1102679</t>
  </si>
  <si>
    <t>D070081</t>
  </si>
  <si>
    <t>S1000250</t>
  </si>
  <si>
    <t>S1101309</t>
  </si>
  <si>
    <t>S1101300</t>
  </si>
  <si>
    <t>S1101347</t>
  </si>
  <si>
    <t>T240 Interface - Corner 1</t>
  </si>
  <si>
    <t>S1101840</t>
  </si>
  <si>
    <t>T240 Interface - Corner 2</t>
  </si>
  <si>
    <t>S1101838</t>
  </si>
  <si>
    <t>T240 Interface - Corner 3</t>
  </si>
  <si>
    <t>S1101839</t>
  </si>
  <si>
    <t>I/O Chassis</t>
  </si>
  <si>
    <t>n/a</t>
  </si>
  <si>
    <t>DTSFE0</t>
  </si>
  <si>
    <t>S1000266</t>
  </si>
  <si>
    <t>S1000269</t>
  </si>
  <si>
    <t>S1102692</t>
  </si>
  <si>
    <t>68?</t>
  </si>
  <si>
    <t>85?</t>
  </si>
  <si>
    <t>89?</t>
  </si>
  <si>
    <t>12?</t>
  </si>
  <si>
    <t>26?</t>
  </si>
  <si>
    <t>36?</t>
  </si>
  <si>
    <t>822?</t>
  </si>
  <si>
    <t>842?</t>
  </si>
  <si>
    <t>841?</t>
  </si>
  <si>
    <t>138?</t>
  </si>
  <si>
    <t>133?</t>
  </si>
  <si>
    <t>109?</t>
  </si>
  <si>
    <t>The sensors highlighted in red will be replaced during phase 2</t>
  </si>
  <si>
    <t>Total Weight(lb)</t>
  </si>
  <si>
    <t>ST1 ACT H1</t>
  </si>
  <si>
    <t>ST1 ACT H2</t>
  </si>
  <si>
    <t>ST1 ACT H3</t>
  </si>
  <si>
    <t>ST1 ACT V1</t>
  </si>
  <si>
    <t>ST1 ACT V2</t>
  </si>
  <si>
    <t>ST1 ACT V3</t>
  </si>
  <si>
    <t>ST2 ACT H1</t>
  </si>
  <si>
    <t>ST2 ACT H2</t>
  </si>
  <si>
    <t>ST2 ACT H3</t>
  </si>
  <si>
    <t>ST2 ACT V1</t>
  </si>
  <si>
    <t>ST2 ACT V2</t>
  </si>
  <si>
    <t>ST2 ACT V3</t>
  </si>
  <si>
    <t>Gain</t>
  </si>
  <si>
    <t>Refrence table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</si>
</sst>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.0000"/>
    <numFmt numFmtId="166" formatCode="0.000"/>
  </numFmts>
  <fonts count="23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2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Arial"/>
      <family val="2"/>
    </font>
    <font>
      <sz val="10"/>
      <color indexed="8"/>
      <name val="Arial"/>
      <family val="2"/>
    </font>
    <font>
      <sz val="11"/>
      <color rgb="FF006100"/>
      <name val="Calibri"/>
      <family val="2"/>
      <scheme val="minor"/>
    </font>
    <font>
      <b/>
      <sz val="12"/>
      <color indexed="8"/>
      <name val="Arial"/>
    </font>
    <font>
      <b/>
      <sz val="12"/>
      <color theme="1"/>
      <name val="Arial"/>
    </font>
    <font>
      <sz val="12"/>
      <color theme="1"/>
      <name val="Arial"/>
    </font>
    <font>
      <sz val="12"/>
      <color indexed="8"/>
      <name val="Arial"/>
    </font>
    <font>
      <sz val="12"/>
      <name val="Arial"/>
      <family val="2"/>
    </font>
    <font>
      <sz val="12"/>
      <color theme="1"/>
      <name val="Arial"/>
      <family val="2"/>
    </font>
    <font>
      <b/>
      <sz val="12"/>
      <color indexed="8"/>
      <name val="Arial"/>
      <family val="2"/>
    </font>
    <font>
      <sz val="11"/>
      <color rgb="FF00B050"/>
      <name val="Calibri"/>
      <family val="2"/>
      <scheme val="minor"/>
    </font>
    <font>
      <b/>
      <sz val="11"/>
      <color theme="1"/>
      <name val="Calibri"/>
      <family val="2"/>
    </font>
    <font>
      <sz val="12"/>
      <color rgb="FFFF0000"/>
      <name val="Arial"/>
      <family val="2"/>
    </font>
    <font>
      <b/>
      <sz val="12"/>
      <name val="Arial"/>
      <family val="2"/>
    </font>
    <font>
      <sz val="12"/>
      <color rgb="FF00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</patternFill>
    </fill>
    <fill>
      <patternFill patternType="solid">
        <fgColor theme="0" tint="-0.249977111117893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0" fontId="8" fillId="4" borderId="0" applyNumberFormat="0" applyBorder="0" applyAlignment="0" applyProtection="0"/>
  </cellStyleXfs>
  <cellXfs count="420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1" xfId="0" applyBorder="1"/>
    <xf numFmtId="0" fontId="0" fillId="0" borderId="6" xfId="0" applyBorder="1"/>
    <xf numFmtId="0" fontId="1" fillId="0" borderId="14" xfId="0" applyFont="1" applyBorder="1" applyAlignment="1">
      <alignment horizontal="center" vertical="center"/>
    </xf>
    <xf numFmtId="0" fontId="0" fillId="0" borderId="8" xfId="0" applyBorder="1"/>
    <xf numFmtId="0" fontId="2" fillId="0" borderId="4" xfId="0" applyFont="1" applyBorder="1" applyAlignment="1">
      <alignment horizontal="center" vertical="center"/>
    </xf>
    <xf numFmtId="0" fontId="3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/>
    </xf>
    <xf numFmtId="49" fontId="0" fillId="0" borderId="6" xfId="0" applyNumberFormat="1" applyFont="1" applyBorder="1" applyAlignment="1">
      <alignment horizontal="center"/>
    </xf>
    <xf numFmtId="0" fontId="1" fillId="0" borderId="0" xfId="0" applyFont="1" applyBorder="1" applyAlignment="1">
      <alignment vertical="center"/>
    </xf>
    <xf numFmtId="0" fontId="0" fillId="0" borderId="0" xfId="0" applyBorder="1"/>
    <xf numFmtId="0" fontId="2" fillId="0" borderId="0" xfId="0" applyFont="1" applyBorder="1" applyAlignment="1">
      <alignment vertical="center"/>
    </xf>
    <xf numFmtId="0" fontId="0" fillId="0" borderId="14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6" fillId="0" borderId="0" xfId="0" applyFont="1"/>
    <xf numFmtId="0" fontId="1" fillId="0" borderId="1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2" borderId="35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32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5" xfId="0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27" xfId="0" applyBorder="1"/>
    <xf numFmtId="0" fontId="0" fillId="0" borderId="28" xfId="0" applyBorder="1"/>
    <xf numFmtId="164" fontId="0" fillId="0" borderId="0" xfId="0" applyNumberForma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30" xfId="0" applyFont="1" applyBorder="1" applyAlignment="1">
      <alignment horizontal="center"/>
    </xf>
    <xf numFmtId="164" fontId="0" fillId="0" borderId="36" xfId="0" applyNumberFormat="1" applyBorder="1" applyAlignment="1">
      <alignment horizontal="center"/>
    </xf>
    <xf numFmtId="164" fontId="0" fillId="0" borderId="22" xfId="0" applyNumberFormat="1" applyBorder="1" applyAlignment="1">
      <alignment horizontal="center"/>
    </xf>
    <xf numFmtId="164" fontId="0" fillId="0" borderId="32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1" fillId="0" borderId="13" xfId="0" applyFont="1" applyBorder="1"/>
    <xf numFmtId="0" fontId="2" fillId="0" borderId="3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1" fillId="0" borderId="27" xfId="0" applyFont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1" fillId="0" borderId="28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4" xfId="0" applyBorder="1"/>
    <xf numFmtId="0" fontId="0" fillId="0" borderId="26" xfId="0" applyBorder="1"/>
    <xf numFmtId="0" fontId="5" fillId="0" borderId="14" xfId="0" applyFont="1" applyBorder="1"/>
    <xf numFmtId="164" fontId="0" fillId="0" borderId="26" xfId="0" applyNumberFormat="1" applyBorder="1" applyAlignment="1">
      <alignment horizontal="center"/>
    </xf>
    <xf numFmtId="164" fontId="0" fillId="0" borderId="27" xfId="0" applyNumberFormat="1" applyBorder="1" applyAlignment="1">
      <alignment horizontal="center"/>
    </xf>
    <xf numFmtId="164" fontId="0" fillId="0" borderId="28" xfId="0" applyNumberForma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36" xfId="0" applyFont="1" applyBorder="1"/>
    <xf numFmtId="0" fontId="5" fillId="0" borderId="32" xfId="0" applyFont="1" applyBorder="1"/>
    <xf numFmtId="0" fontId="5" fillId="0" borderId="22" xfId="0" applyFont="1" applyBorder="1"/>
    <xf numFmtId="0" fontId="0" fillId="0" borderId="56" xfId="0" applyFont="1" applyBorder="1" applyAlignment="1">
      <alignment horizontal="center"/>
    </xf>
    <xf numFmtId="0" fontId="5" fillId="0" borderId="0" xfId="0" applyFont="1"/>
    <xf numFmtId="0" fontId="5" fillId="0" borderId="55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5" fillId="0" borderId="6" xfId="0" applyFont="1" applyBorder="1" applyAlignment="1">
      <alignment horizontal="center" wrapText="1"/>
    </xf>
    <xf numFmtId="0" fontId="0" fillId="0" borderId="43" xfId="0" applyFont="1" applyBorder="1" applyAlignment="1">
      <alignment horizontal="center"/>
    </xf>
    <xf numFmtId="0" fontId="1" fillId="0" borderId="3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36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1" fillId="3" borderId="30" xfId="0" applyFont="1" applyFill="1" applyBorder="1" applyAlignment="1">
      <alignment horizontal="center"/>
    </xf>
    <xf numFmtId="0" fontId="0" fillId="3" borderId="35" xfId="0" applyFill="1" applyBorder="1" applyAlignment="1">
      <alignment horizontal="center"/>
    </xf>
    <xf numFmtId="164" fontId="1" fillId="3" borderId="31" xfId="0" applyNumberFormat="1" applyFont="1" applyFill="1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0" fillId="3" borderId="57" xfId="0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50" xfId="0" applyBorder="1" applyAlignment="1">
      <alignment horizontal="center"/>
    </xf>
    <xf numFmtId="1" fontId="1" fillId="3" borderId="34" xfId="0" applyNumberFormat="1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1" fontId="1" fillId="0" borderId="14" xfId="0" applyNumberFormat="1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11" fontId="0" fillId="0" borderId="8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1" fontId="0" fillId="0" borderId="11" xfId="0" applyNumberFormat="1" applyBorder="1" applyAlignment="1">
      <alignment horizontal="center"/>
    </xf>
    <xf numFmtId="1" fontId="1" fillId="0" borderId="6" xfId="0" applyNumberFormat="1" applyFont="1" applyBorder="1" applyAlignment="1">
      <alignment horizontal="center"/>
    </xf>
    <xf numFmtId="1" fontId="0" fillId="0" borderId="50" xfId="0" applyNumberFormat="1" applyBorder="1" applyAlignment="1">
      <alignment horizontal="center"/>
    </xf>
    <xf numFmtId="11" fontId="0" fillId="0" borderId="6" xfId="0" applyNumberFormat="1" applyBorder="1" applyAlignment="1">
      <alignment horizontal="center"/>
    </xf>
    <xf numFmtId="11" fontId="0" fillId="0" borderId="14" xfId="0" applyNumberForma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2" fontId="0" fillId="0" borderId="4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0" xfId="0" applyFont="1" applyBorder="1"/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59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60" xfId="0" applyFont="1" applyBorder="1" applyAlignment="1">
      <alignment horizontal="center"/>
    </xf>
    <xf numFmtId="0" fontId="0" fillId="0" borderId="60" xfId="0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49" fontId="13" fillId="0" borderId="0" xfId="1" applyNumberFormat="1" applyFont="1" applyFill="1" applyBorder="1" applyAlignment="1">
      <alignment horizontal="center" vertical="center"/>
    </xf>
    <xf numFmtId="164" fontId="12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14" fillId="0" borderId="0" xfId="0" applyFont="1" applyFill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49" fontId="13" fillId="0" borderId="4" xfId="1" applyNumberFormat="1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49" fontId="13" fillId="0" borderId="11" xfId="1" applyNumberFormat="1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49" fontId="13" fillId="0" borderId="6" xfId="1" applyNumberFormat="1" applyFont="1" applyFill="1" applyBorder="1" applyAlignment="1">
      <alignment horizontal="center" vertical="center"/>
    </xf>
    <xf numFmtId="0" fontId="0" fillId="0" borderId="33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15" fontId="1" fillId="0" borderId="0" xfId="0" applyNumberFormat="1" applyFont="1" applyBorder="1" applyAlignment="1">
      <alignment horizontal="center"/>
    </xf>
    <xf numFmtId="164" fontId="0" fillId="0" borderId="21" xfId="0" applyNumberFormat="1" applyFont="1" applyBorder="1" applyAlignment="1">
      <alignment horizontal="center"/>
    </xf>
    <xf numFmtId="164" fontId="0" fillId="0" borderId="22" xfId="0" applyNumberFormat="1" applyFont="1" applyBorder="1" applyAlignment="1">
      <alignment horizontal="center"/>
    </xf>
    <xf numFmtId="164" fontId="0" fillId="0" borderId="32" xfId="0" applyNumberFormat="1" applyFon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45" xfId="0" applyNumberFormat="1" applyBorder="1" applyAlignment="1">
      <alignment horizontal="center"/>
    </xf>
    <xf numFmtId="0" fontId="5" fillId="0" borderId="8" xfId="0" applyFont="1" applyBorder="1"/>
    <xf numFmtId="0" fontId="5" fillId="0" borderId="11" xfId="0" applyFont="1" applyBorder="1"/>
    <xf numFmtId="0" fontId="5" fillId="0" borderId="6" xfId="0" applyFont="1" applyBorder="1"/>
    <xf numFmtId="1" fontId="0" fillId="0" borderId="49" xfId="0" applyNumberFormat="1" applyFont="1" applyBorder="1" applyAlignment="1">
      <alignment horizontal="center"/>
    </xf>
    <xf numFmtId="1" fontId="0" fillId="0" borderId="21" xfId="0" applyNumberFormat="1" applyFon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1" fontId="0" fillId="0" borderId="42" xfId="0" applyNumberFormat="1" applyFont="1" applyBorder="1" applyAlignment="1">
      <alignment horizontal="center"/>
    </xf>
    <xf numFmtId="1" fontId="0" fillId="0" borderId="22" xfId="0" applyNumberFormat="1" applyFon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0" fillId="0" borderId="43" xfId="0" applyNumberFormat="1" applyFont="1" applyBorder="1" applyAlignment="1">
      <alignment horizontal="center"/>
    </xf>
    <xf numFmtId="1" fontId="0" fillId="0" borderId="32" xfId="0" applyNumberFormat="1" applyFon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1" fontId="0" fillId="0" borderId="36" xfId="0" applyNumberFormat="1" applyBorder="1" applyAlignment="1">
      <alignment horizontal="center"/>
    </xf>
    <xf numFmtId="1" fontId="0" fillId="0" borderId="22" xfId="0" applyNumberFormat="1" applyBorder="1" applyAlignment="1">
      <alignment horizontal="center"/>
    </xf>
    <xf numFmtId="1" fontId="0" fillId="0" borderId="32" xfId="0" applyNumberFormat="1" applyBorder="1" applyAlignment="1">
      <alignment horizontal="center"/>
    </xf>
    <xf numFmtId="1" fontId="5" fillId="0" borderId="14" xfId="0" applyNumberFormat="1" applyFont="1" applyFill="1" applyBorder="1" applyAlignment="1">
      <alignment horizontal="center"/>
    </xf>
    <xf numFmtId="1" fontId="5" fillId="0" borderId="31" xfId="0" applyNumberFormat="1" applyFont="1" applyFill="1" applyBorder="1" applyAlignment="1">
      <alignment horizontal="center"/>
    </xf>
    <xf numFmtId="1" fontId="0" fillId="0" borderId="33" xfId="0" applyNumberFormat="1" applyBorder="1" applyAlignment="1">
      <alignment horizontal="center"/>
    </xf>
    <xf numFmtId="166" fontId="0" fillId="0" borderId="36" xfId="0" applyNumberFormat="1" applyBorder="1" applyAlignment="1">
      <alignment horizontal="center"/>
    </xf>
    <xf numFmtId="166" fontId="0" fillId="0" borderId="22" xfId="0" applyNumberFormat="1" applyBorder="1" applyAlignment="1">
      <alignment horizontal="center"/>
    </xf>
    <xf numFmtId="166" fontId="0" fillId="0" borderId="32" xfId="0" applyNumberFormat="1" applyBorder="1" applyAlignment="1">
      <alignment horizontal="center"/>
    </xf>
    <xf numFmtId="166" fontId="0" fillId="0" borderId="21" xfId="0" applyNumberFormat="1" applyBorder="1" applyAlignment="1">
      <alignment horizontal="center"/>
    </xf>
    <xf numFmtId="1" fontId="0" fillId="0" borderId="21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" fontId="5" fillId="0" borderId="6" xfId="0" applyNumberFormat="1" applyFont="1" applyBorder="1" applyAlignment="1">
      <alignment horizontal="center"/>
    </xf>
    <xf numFmtId="1" fontId="4" fillId="0" borderId="37" xfId="0" applyNumberFormat="1" applyFont="1" applyBorder="1" applyAlignment="1">
      <alignment horizontal="center"/>
    </xf>
    <xf numFmtId="1" fontId="0" fillId="0" borderId="37" xfId="0" applyNumberFormat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1" fontId="0" fillId="0" borderId="41" xfId="0" applyNumberFormat="1" applyBorder="1" applyAlignment="1">
      <alignment horizontal="center"/>
    </xf>
    <xf numFmtId="1" fontId="4" fillId="0" borderId="16" xfId="0" applyNumberFormat="1" applyFont="1" applyBorder="1" applyAlignment="1">
      <alignment horizontal="center"/>
    </xf>
    <xf numFmtId="0" fontId="5" fillId="0" borderId="4" xfId="0" applyFont="1" applyBorder="1"/>
    <xf numFmtId="1" fontId="4" fillId="0" borderId="7" xfId="0" applyNumberFormat="1" applyFont="1" applyBorder="1" applyAlignment="1">
      <alignment horizontal="center"/>
    </xf>
    <xf numFmtId="1" fontId="0" fillId="0" borderId="47" xfId="0" applyNumberFormat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1" fontId="5" fillId="0" borderId="18" xfId="0" applyNumberFormat="1" applyFont="1" applyBorder="1" applyAlignment="1">
      <alignment horizontal="center"/>
    </xf>
    <xf numFmtId="1" fontId="5" fillId="0" borderId="48" xfId="0" applyNumberFormat="1" applyFont="1" applyBorder="1" applyAlignment="1">
      <alignment horizontal="center"/>
    </xf>
    <xf numFmtId="1" fontId="5" fillId="0" borderId="19" xfId="0" applyNumberFormat="1" applyFon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1" fontId="0" fillId="0" borderId="40" xfId="0" applyNumberFormat="1" applyBorder="1" applyAlignment="1">
      <alignment horizontal="center"/>
    </xf>
    <xf numFmtId="1" fontId="0" fillId="0" borderId="20" xfId="0" applyNumberFormat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1" fontId="0" fillId="0" borderId="52" xfId="0" applyNumberFormat="1" applyBorder="1" applyAlignment="1">
      <alignment horizontal="center"/>
    </xf>
    <xf numFmtId="1" fontId="0" fillId="0" borderId="53" xfId="0" applyNumberFormat="1" applyBorder="1" applyAlignment="1">
      <alignment horizontal="center"/>
    </xf>
    <xf numFmtId="1" fontId="4" fillId="0" borderId="54" xfId="0" applyNumberFormat="1" applyFont="1" applyBorder="1" applyAlignment="1">
      <alignment horizontal="center"/>
    </xf>
    <xf numFmtId="1" fontId="0" fillId="0" borderId="56" xfId="0" applyNumberFormat="1" applyBorder="1" applyAlignment="1">
      <alignment horizontal="center"/>
    </xf>
    <xf numFmtId="1" fontId="0" fillId="0" borderId="54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" fontId="5" fillId="0" borderId="55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" fontId="0" fillId="0" borderId="26" xfId="0" applyNumberFormat="1" applyBorder="1" applyAlignment="1">
      <alignment horizontal="center"/>
    </xf>
    <xf numFmtId="1" fontId="4" fillId="0" borderId="27" xfId="0" applyNumberFormat="1" applyFont="1" applyBorder="1" applyAlignment="1">
      <alignment horizontal="center"/>
    </xf>
    <xf numFmtId="1" fontId="0" fillId="0" borderId="27" xfId="0" applyNumberFormat="1" applyBorder="1" applyAlignment="1">
      <alignment horizontal="center"/>
    </xf>
    <xf numFmtId="1" fontId="16" fillId="0" borderId="27" xfId="0" applyNumberFormat="1" applyFont="1" applyBorder="1" applyAlignment="1">
      <alignment horizontal="center"/>
    </xf>
    <xf numFmtId="1" fontId="0" fillId="0" borderId="28" xfId="0" applyNumberFormat="1" applyBorder="1" applyAlignment="1">
      <alignment horizontal="center"/>
    </xf>
    <xf numFmtId="1" fontId="4" fillId="0" borderId="50" xfId="0" applyNumberFormat="1" applyFont="1" applyBorder="1" applyAlignment="1">
      <alignment horizontal="center"/>
    </xf>
    <xf numFmtId="1" fontId="4" fillId="0" borderId="4" xfId="0" applyNumberFormat="1" applyFont="1" applyBorder="1" applyAlignment="1">
      <alignment horizontal="center"/>
    </xf>
    <xf numFmtId="1" fontId="16" fillId="0" borderId="11" xfId="0" applyNumberFormat="1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1" fontId="4" fillId="0" borderId="21" xfId="0" applyNumberFormat="1" applyFont="1" applyBorder="1" applyAlignment="1">
      <alignment horizontal="center"/>
    </xf>
    <xf numFmtId="1" fontId="16" fillId="0" borderId="22" xfId="0" applyNumberFormat="1" applyFont="1" applyBorder="1" applyAlignment="1">
      <alignment horizontal="center"/>
    </xf>
    <xf numFmtId="1" fontId="0" fillId="0" borderId="45" xfId="0" applyNumberFormat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1" fontId="4" fillId="0" borderId="6" xfId="0" applyNumberFormat="1" applyFont="1" applyBorder="1" applyAlignment="1">
      <alignment horizontal="center"/>
    </xf>
    <xf numFmtId="1" fontId="5" fillId="0" borderId="36" xfId="0" applyNumberFormat="1" applyFont="1" applyBorder="1" applyAlignment="1">
      <alignment horizontal="center"/>
    </xf>
    <xf numFmtId="1" fontId="5" fillId="0" borderId="22" xfId="0" applyNumberFormat="1" applyFont="1" applyBorder="1" applyAlignment="1">
      <alignment horizontal="center"/>
    </xf>
    <xf numFmtId="1" fontId="5" fillId="0" borderId="32" xfId="0" applyNumberFormat="1" applyFont="1" applyBorder="1" applyAlignment="1">
      <alignment horizontal="center"/>
    </xf>
    <xf numFmtId="1" fontId="5" fillId="0" borderId="4" xfId="0" applyNumberFormat="1" applyFont="1" applyBorder="1" applyAlignment="1">
      <alignment horizontal="center"/>
    </xf>
    <xf numFmtId="1" fontId="5" fillId="0" borderId="14" xfId="0" applyNumberFormat="1" applyFont="1" applyBorder="1" applyAlignment="1">
      <alignment horizontal="center"/>
    </xf>
    <xf numFmtId="1" fontId="5" fillId="0" borderId="25" xfId="0" applyNumberFormat="1" applyFont="1" applyBorder="1" applyAlignment="1">
      <alignment horizontal="center"/>
    </xf>
    <xf numFmtId="1" fontId="5" fillId="0" borderId="31" xfId="0" applyNumberFormat="1" applyFont="1" applyBorder="1" applyAlignment="1">
      <alignment horizontal="center"/>
    </xf>
    <xf numFmtId="1" fontId="5" fillId="0" borderId="30" xfId="0" applyNumberFormat="1" applyFont="1" applyBorder="1" applyAlignment="1">
      <alignment horizontal="center"/>
    </xf>
    <xf numFmtId="1" fontId="5" fillId="0" borderId="13" xfId="0" applyNumberFormat="1" applyFont="1" applyBorder="1" applyAlignment="1">
      <alignment horizontal="center"/>
    </xf>
    <xf numFmtId="1" fontId="5" fillId="0" borderId="44" xfId="0" applyNumberFormat="1" applyFont="1" applyBorder="1" applyAlignment="1">
      <alignment horizontal="center"/>
    </xf>
    <xf numFmtId="1" fontId="5" fillId="0" borderId="2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1" xfId="0" applyFont="1" applyBorder="1"/>
    <xf numFmtId="11" fontId="0" fillId="0" borderId="0" xfId="0" applyNumberForma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5" fillId="0" borderId="44" xfId="0" applyFont="1" applyBorder="1"/>
    <xf numFmtId="164" fontId="0" fillId="0" borderId="0" xfId="0" applyNumberFormat="1" applyAlignment="1">
      <alignment horizontal="center"/>
    </xf>
    <xf numFmtId="0" fontId="2" fillId="0" borderId="52" xfId="0" applyFont="1" applyBorder="1" applyAlignment="1">
      <alignment horizontal="center" wrapText="1"/>
    </xf>
    <xf numFmtId="0" fontId="2" fillId="0" borderId="53" xfId="0" applyFont="1" applyBorder="1" applyAlignment="1">
      <alignment horizontal="center" wrapText="1"/>
    </xf>
    <xf numFmtId="0" fontId="2" fillId="0" borderId="54" xfId="0" applyFont="1" applyBorder="1" applyAlignment="1">
      <alignment horizontal="center" wrapText="1"/>
    </xf>
    <xf numFmtId="0" fontId="1" fillId="0" borderId="44" xfId="0" applyFont="1" applyBorder="1" applyAlignment="1">
      <alignment horizontal="center"/>
    </xf>
    <xf numFmtId="1" fontId="0" fillId="5" borderId="11" xfId="0" applyNumberFormat="1" applyFill="1" applyBorder="1" applyAlignment="1">
      <alignment horizontal="center"/>
    </xf>
    <xf numFmtId="1" fontId="0" fillId="5" borderId="8" xfId="0" applyNumberFormat="1" applyFill="1" applyBorder="1" applyAlignment="1">
      <alignment horizontal="center"/>
    </xf>
    <xf numFmtId="1" fontId="0" fillId="5" borderId="6" xfId="0" applyNumberFormat="1" applyFill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5" fillId="0" borderId="25" xfId="0" applyFont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1" fontId="0" fillId="0" borderId="5" xfId="0" applyNumberFormat="1" applyFont="1" applyBorder="1" applyAlignment="1">
      <alignment horizontal="center"/>
    </xf>
    <xf numFmtId="1" fontId="0" fillId="0" borderId="26" xfId="0" applyNumberFormat="1" applyFont="1" applyBorder="1" applyAlignment="1">
      <alignment horizontal="center"/>
    </xf>
    <xf numFmtId="1" fontId="0" fillId="0" borderId="27" xfId="0" applyNumberFormat="1" applyFont="1" applyBorder="1" applyAlignment="1">
      <alignment horizontal="center"/>
    </xf>
    <xf numFmtId="1" fontId="0" fillId="0" borderId="28" xfId="0" applyNumberFormat="1" applyFont="1" applyBorder="1" applyAlignment="1">
      <alignment horizontal="center"/>
    </xf>
    <xf numFmtId="2" fontId="0" fillId="0" borderId="0" xfId="0" applyNumberFormat="1" applyFont="1"/>
    <xf numFmtId="2" fontId="0" fillId="0" borderId="0" xfId="0" applyNumberFormat="1"/>
    <xf numFmtId="0" fontId="5" fillId="0" borderId="30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1" fontId="0" fillId="0" borderId="0" xfId="0" applyNumberFormat="1"/>
    <xf numFmtId="49" fontId="12" fillId="0" borderId="37" xfId="0" applyNumberFormat="1" applyFont="1" applyBorder="1" applyAlignment="1">
      <alignment horizontal="center" vertical="center"/>
    </xf>
    <xf numFmtId="1" fontId="18" fillId="0" borderId="37" xfId="0" applyNumberFormat="1" applyFont="1" applyFill="1" applyBorder="1" applyAlignment="1">
      <alignment horizontal="center" vertical="center"/>
    </xf>
    <xf numFmtId="1" fontId="12" fillId="0" borderId="37" xfId="0" applyNumberFormat="1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164" fontId="0" fillId="0" borderId="33" xfId="0" applyNumberFormat="1" applyFont="1" applyBorder="1" applyAlignment="1">
      <alignment horizontal="center"/>
    </xf>
    <xf numFmtId="164" fontId="0" fillId="0" borderId="12" xfId="0" applyNumberFormat="1" applyFont="1" applyBorder="1" applyAlignment="1">
      <alignment horizontal="center"/>
    </xf>
    <xf numFmtId="164" fontId="0" fillId="0" borderId="24" xfId="0" applyNumberFormat="1" applyFont="1" applyBorder="1" applyAlignment="1">
      <alignment horizontal="center"/>
    </xf>
    <xf numFmtId="164" fontId="0" fillId="0" borderId="31" xfId="0" applyNumberFormat="1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164" fontId="0" fillId="0" borderId="34" xfId="0" applyNumberFormat="1" applyFont="1" applyBorder="1" applyAlignment="1">
      <alignment horizontal="center"/>
    </xf>
    <xf numFmtId="164" fontId="0" fillId="0" borderId="4" xfId="0" applyNumberFormat="1" applyFont="1" applyBorder="1" applyAlignment="1">
      <alignment horizontal="center"/>
    </xf>
    <xf numFmtId="164" fontId="0" fillId="0" borderId="11" xfId="0" applyNumberFormat="1" applyFont="1" applyBorder="1" applyAlignment="1">
      <alignment horizontal="center"/>
    </xf>
    <xf numFmtId="164" fontId="5" fillId="0" borderId="14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/>
    </xf>
    <xf numFmtId="0" fontId="19" fillId="0" borderId="14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50" xfId="0" applyFont="1" applyBorder="1" applyAlignment="1">
      <alignment horizontal="center" vertical="center"/>
    </xf>
    <xf numFmtId="0" fontId="13" fillId="0" borderId="61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/>
    </xf>
    <xf numFmtId="0" fontId="13" fillId="0" borderId="14" xfId="0" applyFont="1" applyBorder="1" applyAlignment="1">
      <alignment horizontal="center" vertical="center"/>
    </xf>
    <xf numFmtId="0" fontId="20" fillId="0" borderId="61" xfId="0" applyFont="1" applyBorder="1" applyAlignment="1">
      <alignment horizontal="center"/>
    </xf>
    <xf numFmtId="0" fontId="20" fillId="0" borderId="4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21" fillId="0" borderId="32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22" fillId="2" borderId="35" xfId="0" applyFont="1" applyFill="1" applyBorder="1" applyAlignment="1">
      <alignment horizontal="center"/>
    </xf>
    <xf numFmtId="0" fontId="21" fillId="0" borderId="2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22" fillId="2" borderId="8" xfId="0" applyFont="1" applyFill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22" fillId="2" borderId="4" xfId="0" applyFont="1" applyFill="1" applyBorder="1" applyAlignment="1">
      <alignment horizontal="center"/>
    </xf>
    <xf numFmtId="0" fontId="21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164" fontId="0" fillId="0" borderId="14" xfId="0" applyNumberFormat="1" applyFont="1" applyBorder="1" applyAlignment="1">
      <alignment horizontal="center"/>
    </xf>
    <xf numFmtId="0" fontId="5" fillId="0" borderId="0" xfId="0" applyFont="1" applyBorder="1" applyAlignment="1"/>
    <xf numFmtId="0" fontId="5" fillId="0" borderId="44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166" fontId="0" fillId="0" borderId="9" xfId="0" applyNumberFormat="1" applyFont="1" applyBorder="1" applyAlignment="1">
      <alignment horizontal="center"/>
    </xf>
    <xf numFmtId="166" fontId="0" fillId="0" borderId="12" xfId="0" applyNumberFormat="1" applyFont="1" applyBorder="1" applyAlignment="1">
      <alignment horizontal="center"/>
    </xf>
    <xf numFmtId="166" fontId="0" fillId="0" borderId="12" xfId="0" applyNumberFormat="1" applyBorder="1" applyAlignment="1">
      <alignment horizontal="center"/>
    </xf>
    <xf numFmtId="166" fontId="0" fillId="0" borderId="50" xfId="0" applyNumberForma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18" xfId="0" applyFont="1" applyBorder="1" applyAlignment="1">
      <alignment horizontal="right"/>
    </xf>
    <xf numFmtId="0" fontId="5" fillId="0" borderId="55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20" fillId="0" borderId="61" xfId="0" applyFont="1" applyBorder="1" applyAlignment="1">
      <alignment horizontal="center"/>
    </xf>
    <xf numFmtId="0" fontId="20" fillId="0" borderId="4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5" fillId="0" borderId="58" xfId="0" applyFont="1" applyBorder="1" applyAlignment="1">
      <alignment horizontal="right" vertical="center" textRotation="90"/>
    </xf>
    <xf numFmtId="0" fontId="20" fillId="0" borderId="11" xfId="0" applyFont="1" applyBorder="1" applyAlignment="1">
      <alignment horizontal="center"/>
    </xf>
    <xf numFmtId="0" fontId="19" fillId="0" borderId="1" xfId="0" applyFont="1" applyBorder="1" applyAlignment="1">
      <alignment horizontal="center" vertical="center"/>
    </xf>
    <xf numFmtId="165" fontId="0" fillId="0" borderId="36" xfId="0" applyNumberFormat="1" applyBorder="1" applyAlignment="1">
      <alignment horizontal="center" vertical="center"/>
    </xf>
    <xf numFmtId="165" fontId="0" fillId="0" borderId="22" xfId="0" applyNumberFormat="1" applyBorder="1" applyAlignment="1">
      <alignment horizontal="center" vertical="center"/>
    </xf>
    <xf numFmtId="165" fontId="0" fillId="0" borderId="32" xfId="0" applyNumberForma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13" fillId="0" borderId="61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20" fillId="0" borderId="1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/>
    </xf>
    <xf numFmtId="0" fontId="20" fillId="0" borderId="61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1" fillId="0" borderId="38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5" fillId="0" borderId="57" xfId="0" applyFont="1" applyBorder="1" applyAlignment="1">
      <alignment horizontal="center"/>
    </xf>
  </cellXfs>
  <cellStyles count="2">
    <cellStyle name="Good" xfId="1" builtinId="26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76"/>
  <sheetViews>
    <sheetView tabSelected="1" topLeftCell="A287" zoomScaleNormal="100" workbookViewId="0">
      <selection activeCell="K288" sqref="K288:R304"/>
    </sheetView>
  </sheetViews>
  <sheetFormatPr defaultRowHeight="15"/>
  <cols>
    <col min="1" max="1" width="29.140625" style="10" customWidth="1"/>
    <col min="2" max="2" width="11.42578125" style="10" customWidth="1"/>
    <col min="3" max="3" width="9.140625" style="11"/>
    <col min="4" max="4" width="16.85546875" customWidth="1"/>
    <col min="5" max="5" width="20.85546875" customWidth="1"/>
    <col min="7" max="7" width="9.140625" customWidth="1"/>
    <col min="8" max="8" width="21.5703125" customWidth="1"/>
    <col min="9" max="9" width="13.85546875" bestFit="1" customWidth="1"/>
    <col min="11" max="11" width="24" customWidth="1"/>
    <col min="12" max="12" width="7.85546875" bestFit="1" customWidth="1"/>
    <col min="13" max="13" width="22.140625" customWidth="1"/>
    <col min="15" max="15" width="7.140625" customWidth="1"/>
    <col min="16" max="16" width="11.7109375" bestFit="1" customWidth="1"/>
    <col min="17" max="17" width="22.140625" customWidth="1"/>
  </cols>
  <sheetData>
    <row r="1" spans="1:13" ht="28.5">
      <c r="A1" s="9" t="s">
        <v>307</v>
      </c>
    </row>
    <row r="3" spans="1:13" ht="15.75" thickBot="1">
      <c r="A3" t="s">
        <v>17</v>
      </c>
    </row>
    <row r="4" spans="1:13" ht="16.5" thickBot="1">
      <c r="A4" s="385" t="s">
        <v>1</v>
      </c>
      <c r="B4" s="385"/>
      <c r="C4" s="335" t="s">
        <v>2</v>
      </c>
      <c r="D4" s="335" t="s">
        <v>3</v>
      </c>
    </row>
    <row r="5" spans="1:13">
      <c r="A5" s="376" t="s">
        <v>312</v>
      </c>
      <c r="B5" s="376"/>
      <c r="C5" s="394" t="s">
        <v>226</v>
      </c>
      <c r="D5" s="336" t="s">
        <v>313</v>
      </c>
    </row>
    <row r="6" spans="1:13">
      <c r="A6" s="377" t="s">
        <v>314</v>
      </c>
      <c r="B6" s="377"/>
      <c r="C6" s="395"/>
      <c r="D6" s="337" t="s">
        <v>315</v>
      </c>
    </row>
    <row r="7" spans="1:13" ht="15.75" thickBot="1">
      <c r="A7" s="378" t="s">
        <v>316</v>
      </c>
      <c r="B7" s="378"/>
      <c r="C7" s="396"/>
      <c r="D7" s="338" t="s">
        <v>317</v>
      </c>
    </row>
    <row r="8" spans="1:13">
      <c r="A8" s="376" t="s">
        <v>318</v>
      </c>
      <c r="B8" s="376"/>
      <c r="C8" s="394" t="s">
        <v>232</v>
      </c>
      <c r="D8" s="336" t="s">
        <v>319</v>
      </c>
    </row>
    <row r="9" spans="1:13">
      <c r="A9" s="377" t="s">
        <v>320</v>
      </c>
      <c r="B9" s="377"/>
      <c r="C9" s="395"/>
      <c r="D9" s="337" t="s">
        <v>321</v>
      </c>
    </row>
    <row r="10" spans="1:13" ht="15.75" thickBot="1">
      <c r="A10" s="378" t="s">
        <v>322</v>
      </c>
      <c r="B10" s="378"/>
      <c r="C10" s="396"/>
      <c r="D10" s="338" t="s">
        <v>323</v>
      </c>
    </row>
    <row r="11" spans="1:13" ht="16.5" thickBot="1">
      <c r="A11" s="379" t="s">
        <v>5</v>
      </c>
      <c r="B11" s="379"/>
      <c r="C11" s="339" t="s">
        <v>324</v>
      </c>
      <c r="D11" s="339" t="s">
        <v>325</v>
      </c>
    </row>
    <row r="12" spans="1:13">
      <c r="A12" s="400" t="s">
        <v>6</v>
      </c>
      <c r="B12" s="400"/>
      <c r="C12" s="394" t="s">
        <v>238</v>
      </c>
      <c r="D12" s="340" t="s">
        <v>326</v>
      </c>
    </row>
    <row r="13" spans="1:13" ht="16.5" thickBot="1">
      <c r="A13" s="375" t="s">
        <v>6</v>
      </c>
      <c r="B13" s="375"/>
      <c r="C13" s="396"/>
      <c r="D13" s="341" t="s">
        <v>327</v>
      </c>
    </row>
    <row r="14" spans="1:13" ht="16.5" thickBot="1">
      <c r="A14" s="379" t="s">
        <v>7</v>
      </c>
      <c r="B14" s="379"/>
      <c r="C14" s="342" t="s">
        <v>245</v>
      </c>
      <c r="D14" s="343" t="s">
        <v>328</v>
      </c>
    </row>
    <row r="15" spans="1:13" ht="15.75">
      <c r="A15" s="380" t="s">
        <v>329</v>
      </c>
      <c r="B15" s="380"/>
      <c r="C15" s="400" t="s">
        <v>233</v>
      </c>
      <c r="D15" s="344" t="s">
        <v>330</v>
      </c>
    </row>
    <row r="16" spans="1:13" ht="15.75">
      <c r="A16" s="384" t="s">
        <v>331</v>
      </c>
      <c r="B16" s="384"/>
      <c r="C16" s="402"/>
      <c r="D16" s="345" t="s">
        <v>332</v>
      </c>
      <c r="H16" s="17"/>
      <c r="I16" s="17"/>
      <c r="J16" s="17"/>
      <c r="K16" s="17"/>
      <c r="L16" s="16"/>
      <c r="M16" s="16"/>
    </row>
    <row r="17" spans="1:13" ht="16.5" thickBot="1">
      <c r="A17" s="401" t="s">
        <v>333</v>
      </c>
      <c r="B17" s="401"/>
      <c r="C17" s="403"/>
      <c r="D17" s="341" t="s">
        <v>334</v>
      </c>
      <c r="H17" s="17"/>
      <c r="I17" s="17"/>
      <c r="J17" s="17"/>
      <c r="K17" s="17"/>
      <c r="L17" s="16"/>
      <c r="M17" s="16"/>
    </row>
    <row r="18" spans="1:13" ht="16.5" thickBot="1">
      <c r="A18" s="379" t="s">
        <v>335</v>
      </c>
      <c r="B18" s="379"/>
      <c r="C18" s="343" t="s">
        <v>336</v>
      </c>
      <c r="D18" s="343" t="s">
        <v>337</v>
      </c>
      <c r="H18" s="18"/>
      <c r="I18" s="17"/>
      <c r="J18" s="17"/>
      <c r="K18" s="17"/>
      <c r="L18" s="16"/>
      <c r="M18" s="16"/>
    </row>
    <row r="19" spans="1:13" ht="15.75">
      <c r="A19" s="376" t="s">
        <v>8</v>
      </c>
      <c r="B19" s="376"/>
      <c r="C19" s="400" t="s">
        <v>250</v>
      </c>
      <c r="D19" s="344" t="s">
        <v>338</v>
      </c>
      <c r="H19" s="18"/>
      <c r="I19" s="17"/>
      <c r="J19" s="17"/>
      <c r="K19" s="17"/>
      <c r="L19" s="17"/>
      <c r="M19" s="17"/>
    </row>
    <row r="20" spans="1:13" ht="15.75">
      <c r="A20" s="377" t="s">
        <v>9</v>
      </c>
      <c r="B20" s="377"/>
      <c r="C20" s="402"/>
      <c r="D20" s="345" t="s">
        <v>339</v>
      </c>
      <c r="H20" s="18"/>
      <c r="I20" s="17"/>
      <c r="J20" s="17"/>
      <c r="K20" s="17"/>
      <c r="L20" s="17"/>
      <c r="M20" s="17"/>
    </row>
    <row r="21" spans="1:13" ht="16.5" thickBot="1">
      <c r="A21" s="378" t="s">
        <v>10</v>
      </c>
      <c r="B21" s="378"/>
      <c r="C21" s="403"/>
      <c r="D21" s="341" t="s">
        <v>340</v>
      </c>
    </row>
    <row r="22" spans="1:13">
      <c r="A22" s="373"/>
      <c r="B22" s="373"/>
      <c r="C22" s="333"/>
      <c r="D22" s="17"/>
      <c r="E22" s="17"/>
    </row>
    <row r="23" spans="1:13">
      <c r="A23" s="374"/>
      <c r="B23" s="374"/>
      <c r="C23" s="334"/>
      <c r="D23" s="17"/>
      <c r="E23" s="17"/>
    </row>
    <row r="24" spans="1:13">
      <c r="A24" s="374"/>
      <c r="B24" s="374"/>
      <c r="C24" s="334"/>
      <c r="D24" s="17"/>
      <c r="E24" s="17"/>
    </row>
    <row r="25" spans="1:13">
      <c r="A25" s="374"/>
      <c r="B25" s="374"/>
      <c r="C25" s="334"/>
      <c r="D25" s="17"/>
      <c r="E25" s="17"/>
    </row>
    <row r="26" spans="1:13" ht="15.75" thickBot="1"/>
    <row r="27" spans="1:13" ht="15.75" thickBot="1">
      <c r="H27" s="158" t="s">
        <v>18</v>
      </c>
      <c r="I27" s="158" t="s">
        <v>193</v>
      </c>
      <c r="J27" s="158" t="s">
        <v>253</v>
      </c>
    </row>
    <row r="28" spans="1:13" ht="15.75" thickBot="1">
      <c r="A28" s="393" t="s">
        <v>34</v>
      </c>
      <c r="B28" s="393"/>
      <c r="E28" s="393" t="s">
        <v>35</v>
      </c>
      <c r="F28" s="393"/>
      <c r="H28" s="94" t="s">
        <v>181</v>
      </c>
      <c r="I28" s="94" t="s">
        <v>123</v>
      </c>
      <c r="J28" s="94">
        <v>6.4</v>
      </c>
    </row>
    <row r="29" spans="1:13" ht="15.75" thickBot="1">
      <c r="A29" s="24" t="s">
        <v>18</v>
      </c>
      <c r="B29" s="25" t="s">
        <v>19</v>
      </c>
      <c r="E29" s="24" t="s">
        <v>18</v>
      </c>
      <c r="F29" s="25" t="s">
        <v>19</v>
      </c>
      <c r="H29" s="105" t="s">
        <v>182</v>
      </c>
      <c r="I29" s="105" t="s">
        <v>115</v>
      </c>
      <c r="J29" s="105">
        <v>10.3</v>
      </c>
    </row>
    <row r="30" spans="1:13" ht="15.75">
      <c r="A30" s="192" t="s">
        <v>49</v>
      </c>
      <c r="B30" s="193" t="s">
        <v>153</v>
      </c>
      <c r="E30" s="190" t="s">
        <v>55</v>
      </c>
      <c r="F30" s="195" t="s">
        <v>159</v>
      </c>
      <c r="H30" s="105" t="s">
        <v>183</v>
      </c>
      <c r="I30" s="105" t="s">
        <v>116</v>
      </c>
      <c r="J30" s="105">
        <v>10.1</v>
      </c>
    </row>
    <row r="31" spans="1:13" ht="16.5" thickBot="1">
      <c r="A31" s="194" t="s">
        <v>50</v>
      </c>
      <c r="B31" s="195" t="s">
        <v>154</v>
      </c>
      <c r="E31" s="190" t="s">
        <v>56</v>
      </c>
      <c r="F31" s="195" t="s">
        <v>160</v>
      </c>
      <c r="H31" s="95" t="s">
        <v>184</v>
      </c>
      <c r="I31" s="95" t="s">
        <v>117</v>
      </c>
      <c r="J31" s="95">
        <v>6.4</v>
      </c>
    </row>
    <row r="32" spans="1:13" ht="15.75">
      <c r="A32" s="194" t="s">
        <v>51</v>
      </c>
      <c r="B32" s="195" t="s">
        <v>155</v>
      </c>
      <c r="E32" s="190" t="s">
        <v>57</v>
      </c>
      <c r="F32" s="195" t="s">
        <v>161</v>
      </c>
      <c r="H32" s="94" t="s">
        <v>185</v>
      </c>
      <c r="I32" s="94" t="s">
        <v>114</v>
      </c>
      <c r="J32" s="94">
        <v>6.6</v>
      </c>
    </row>
    <row r="33" spans="1:15" ht="15.75">
      <c r="A33" s="194" t="s">
        <v>52</v>
      </c>
      <c r="B33" s="195" t="s">
        <v>156</v>
      </c>
      <c r="E33" s="190" t="s">
        <v>58</v>
      </c>
      <c r="F33" s="195" t="s">
        <v>162</v>
      </c>
      <c r="H33" s="105" t="s">
        <v>186</v>
      </c>
      <c r="I33" s="105" t="s">
        <v>118</v>
      </c>
      <c r="J33" s="105">
        <v>10.3</v>
      </c>
    </row>
    <row r="34" spans="1:15" ht="15.75">
      <c r="A34" s="194" t="s">
        <v>53</v>
      </c>
      <c r="B34" s="195" t="s">
        <v>157</v>
      </c>
      <c r="E34" s="190" t="s">
        <v>59</v>
      </c>
      <c r="F34" s="195" t="s">
        <v>163</v>
      </c>
      <c r="H34" s="105" t="s">
        <v>187</v>
      </c>
      <c r="I34" s="105" t="s">
        <v>119</v>
      </c>
      <c r="J34" s="105">
        <v>10.3</v>
      </c>
    </row>
    <row r="35" spans="1:15" ht="16.5" thickBot="1">
      <c r="A35" s="196" t="s">
        <v>54</v>
      </c>
      <c r="B35" s="197" t="s">
        <v>158</v>
      </c>
      <c r="E35" s="191" t="s">
        <v>60</v>
      </c>
      <c r="F35" s="197" t="s">
        <v>164</v>
      </c>
      <c r="H35" s="95" t="s">
        <v>188</v>
      </c>
      <c r="I35" s="95" t="s">
        <v>114</v>
      </c>
      <c r="J35" s="95">
        <v>6.6</v>
      </c>
    </row>
    <row r="36" spans="1:15">
      <c r="A36"/>
      <c r="B36"/>
      <c r="C36"/>
      <c r="H36" s="96" t="s">
        <v>189</v>
      </c>
      <c r="I36" s="96" t="s">
        <v>124</v>
      </c>
      <c r="J36" s="96">
        <v>6.6</v>
      </c>
    </row>
    <row r="37" spans="1:15" ht="18">
      <c r="A37" s="30" t="s">
        <v>26</v>
      </c>
      <c r="B37"/>
      <c r="C37"/>
      <c r="H37" s="105" t="s">
        <v>190</v>
      </c>
      <c r="I37" s="105" t="s">
        <v>121</v>
      </c>
      <c r="J37" s="105">
        <v>10.1</v>
      </c>
    </row>
    <row r="38" spans="1:15" ht="15.75" thickBot="1">
      <c r="A38"/>
      <c r="B38"/>
      <c r="C38"/>
      <c r="H38" s="105" t="s">
        <v>191</v>
      </c>
      <c r="I38" s="105" t="s">
        <v>122</v>
      </c>
      <c r="J38" s="105">
        <v>10.5</v>
      </c>
      <c r="M38" s="316" t="s">
        <v>260</v>
      </c>
      <c r="N38" s="316" t="s">
        <v>261</v>
      </c>
      <c r="O38" s="317" t="s">
        <v>262</v>
      </c>
    </row>
    <row r="39" spans="1:15" ht="15.75" thickBot="1">
      <c r="A39" s="167" t="s">
        <v>111</v>
      </c>
      <c r="B39" s="31" t="s">
        <v>27</v>
      </c>
      <c r="C39" s="25" t="s">
        <v>29</v>
      </c>
      <c r="H39" s="95" t="s">
        <v>192</v>
      </c>
      <c r="I39" s="95" t="s">
        <v>120</v>
      </c>
      <c r="J39" s="95">
        <v>6.6</v>
      </c>
      <c r="M39" s="316" t="s">
        <v>263</v>
      </c>
      <c r="N39" s="316" t="s">
        <v>261</v>
      </c>
      <c r="O39" s="317" t="s">
        <v>264</v>
      </c>
    </row>
    <row r="40" spans="1:15">
      <c r="A40" s="26" t="s">
        <v>20</v>
      </c>
      <c r="B40" s="20">
        <v>12949</v>
      </c>
      <c r="C40" s="33">
        <v>12504</v>
      </c>
      <c r="M40" s="316" t="s">
        <v>265</v>
      </c>
      <c r="N40" s="316" t="s">
        <v>261</v>
      </c>
      <c r="O40" s="318" t="s">
        <v>266</v>
      </c>
    </row>
    <row r="41" spans="1:15">
      <c r="A41" s="352" t="s">
        <v>21</v>
      </c>
      <c r="B41" s="353">
        <v>12943</v>
      </c>
      <c r="C41" s="354">
        <v>12372</v>
      </c>
      <c r="M41" s="316" t="s">
        <v>267</v>
      </c>
      <c r="N41" s="316" t="s">
        <v>261</v>
      </c>
      <c r="O41" s="317" t="s">
        <v>268</v>
      </c>
    </row>
    <row r="42" spans="1:15">
      <c r="A42" s="28" t="s">
        <v>22</v>
      </c>
      <c r="B42" s="21">
        <v>12952</v>
      </c>
      <c r="C42" s="35">
        <v>12512</v>
      </c>
      <c r="M42" s="316"/>
      <c r="N42" s="316" t="s">
        <v>261</v>
      </c>
      <c r="O42" s="318" t="s">
        <v>269</v>
      </c>
    </row>
    <row r="43" spans="1:15">
      <c r="A43" s="352" t="s">
        <v>23</v>
      </c>
      <c r="B43" s="353">
        <v>12956</v>
      </c>
      <c r="C43" s="354">
        <v>12649</v>
      </c>
      <c r="M43" s="316" t="s">
        <v>270</v>
      </c>
      <c r="N43" s="316" t="s">
        <v>261</v>
      </c>
      <c r="O43" s="317" t="s">
        <v>271</v>
      </c>
    </row>
    <row r="44" spans="1:15">
      <c r="A44" s="352" t="s">
        <v>24</v>
      </c>
      <c r="B44" s="353">
        <v>12959</v>
      </c>
      <c r="C44" s="354">
        <v>12384</v>
      </c>
      <c r="E44" t="s">
        <v>284</v>
      </c>
      <c r="F44" s="101" t="s">
        <v>142</v>
      </c>
      <c r="M44" s="316" t="s">
        <v>272</v>
      </c>
      <c r="N44" s="316" t="s">
        <v>261</v>
      </c>
      <c r="O44" s="317" t="s">
        <v>273</v>
      </c>
    </row>
    <row r="45" spans="1:15" ht="15.75" thickBot="1">
      <c r="A45" s="349" t="s">
        <v>25</v>
      </c>
      <c r="B45" s="350">
        <v>12910</v>
      </c>
      <c r="C45" s="351">
        <v>12640</v>
      </c>
      <c r="E45" t="s">
        <v>284</v>
      </c>
      <c r="F45" s="101" t="s">
        <v>143</v>
      </c>
      <c r="M45" s="316" t="s">
        <v>274</v>
      </c>
      <c r="N45" s="316" t="s">
        <v>261</v>
      </c>
      <c r="O45" s="317" t="s">
        <v>275</v>
      </c>
    </row>
    <row r="46" spans="1:15" ht="15.75" thickBot="1">
      <c r="A46" s="44"/>
      <c r="B46" s="45"/>
      <c r="C46" s="46"/>
      <c r="D46" s="47"/>
      <c r="M46" s="316" t="s">
        <v>276</v>
      </c>
      <c r="N46" s="316" t="s">
        <v>261</v>
      </c>
      <c r="O46" s="317" t="s">
        <v>277</v>
      </c>
    </row>
    <row r="47" spans="1:15" ht="15.75" thickBot="1">
      <c r="A47" s="167" t="s">
        <v>112</v>
      </c>
      <c r="B47" s="31" t="s">
        <v>27</v>
      </c>
      <c r="C47" s="25" t="s">
        <v>29</v>
      </c>
      <c r="F47">
        <v>12958</v>
      </c>
      <c r="M47" s="316" t="s">
        <v>278</v>
      </c>
      <c r="N47" s="316" t="s">
        <v>261</v>
      </c>
      <c r="O47" s="317" t="s">
        <v>279</v>
      </c>
    </row>
    <row r="48" spans="1:15">
      <c r="A48" s="355" t="s">
        <v>20</v>
      </c>
      <c r="B48" s="356">
        <v>12953</v>
      </c>
      <c r="C48" s="357">
        <v>12580</v>
      </c>
      <c r="F48">
        <v>12951</v>
      </c>
      <c r="M48" s="316" t="s">
        <v>280</v>
      </c>
      <c r="N48" s="316" t="s">
        <v>261</v>
      </c>
      <c r="O48" s="317" t="s">
        <v>281</v>
      </c>
    </row>
    <row r="49" spans="1:15">
      <c r="A49" s="28" t="s">
        <v>21</v>
      </c>
      <c r="B49" s="21">
        <v>12940</v>
      </c>
      <c r="C49" s="35">
        <v>12378</v>
      </c>
      <c r="F49">
        <v>12945</v>
      </c>
      <c r="M49" s="316" t="s">
        <v>282</v>
      </c>
      <c r="N49" s="316" t="s">
        <v>261</v>
      </c>
      <c r="O49" s="317" t="s">
        <v>283</v>
      </c>
    </row>
    <row r="50" spans="1:15">
      <c r="A50" s="28" t="s">
        <v>22</v>
      </c>
      <c r="B50" s="21">
        <v>12938</v>
      </c>
      <c r="C50" s="35">
        <v>12423</v>
      </c>
      <c r="F50">
        <v>12906</v>
      </c>
      <c r="G50" t="s">
        <v>144</v>
      </c>
    </row>
    <row r="51" spans="1:15">
      <c r="A51" s="28" t="s">
        <v>23</v>
      </c>
      <c r="B51" s="21">
        <v>12939</v>
      </c>
      <c r="C51" s="35">
        <v>12413</v>
      </c>
      <c r="F51">
        <v>12907</v>
      </c>
    </row>
    <row r="52" spans="1:15">
      <c r="A52" s="28" t="s">
        <v>24</v>
      </c>
      <c r="B52" s="21">
        <v>12950</v>
      </c>
      <c r="C52" s="35">
        <v>12381</v>
      </c>
      <c r="F52">
        <v>12904</v>
      </c>
    </row>
    <row r="53" spans="1:15" ht="15.75" thickBot="1">
      <c r="A53" s="349" t="s">
        <v>25</v>
      </c>
      <c r="B53" s="350">
        <v>12960</v>
      </c>
      <c r="C53" s="351">
        <v>12430</v>
      </c>
      <c r="F53">
        <v>12910</v>
      </c>
    </row>
    <row r="54" spans="1:15">
      <c r="F54">
        <v>12905</v>
      </c>
    </row>
    <row r="55" spans="1:15">
      <c r="A55" s="358" t="s">
        <v>353</v>
      </c>
      <c r="B55" s="45"/>
      <c r="C55" s="46"/>
      <c r="D55" s="47"/>
      <c r="F55">
        <v>12948</v>
      </c>
    </row>
    <row r="56" spans="1:15" ht="15.75" thickBot="1">
      <c r="A56"/>
      <c r="B56"/>
      <c r="C56"/>
      <c r="F56">
        <v>12893</v>
      </c>
      <c r="G56" t="s">
        <v>144</v>
      </c>
    </row>
    <row r="57" spans="1:15" ht="16.5" thickBot="1">
      <c r="A57" s="24" t="s">
        <v>30</v>
      </c>
      <c r="B57" s="24" t="s">
        <v>31</v>
      </c>
      <c r="C57" s="31" t="s">
        <v>32</v>
      </c>
      <c r="D57" s="65"/>
      <c r="F57">
        <v>12946</v>
      </c>
      <c r="I57" s="180"/>
      <c r="J57" s="180"/>
      <c r="K57" s="181"/>
      <c r="L57" s="182"/>
      <c r="M57" s="183"/>
      <c r="N57" s="183"/>
    </row>
    <row r="58" spans="1:15">
      <c r="A58" s="26" t="s">
        <v>20</v>
      </c>
      <c r="B58" s="40" t="s">
        <v>347</v>
      </c>
      <c r="C58" s="20" t="s">
        <v>341</v>
      </c>
      <c r="D58" s="45"/>
      <c r="I58" s="184"/>
      <c r="J58" s="184"/>
      <c r="K58" s="185"/>
      <c r="L58" s="186"/>
      <c r="M58" s="187"/>
      <c r="N58" s="187"/>
    </row>
    <row r="59" spans="1:15">
      <c r="A59" s="28" t="s">
        <v>21</v>
      </c>
      <c r="B59" s="42" t="s">
        <v>348</v>
      </c>
      <c r="C59" s="21" t="s">
        <v>342</v>
      </c>
      <c r="D59" s="45"/>
      <c r="I59" s="184"/>
      <c r="J59" s="184"/>
      <c r="K59" s="185"/>
      <c r="L59" s="186"/>
      <c r="M59" s="187"/>
      <c r="N59" s="187"/>
    </row>
    <row r="60" spans="1:15">
      <c r="A60" s="28" t="s">
        <v>22</v>
      </c>
      <c r="B60" s="42" t="s">
        <v>349</v>
      </c>
      <c r="C60" s="21" t="s">
        <v>343</v>
      </c>
      <c r="D60" s="45"/>
      <c r="I60" s="184"/>
      <c r="J60" s="184"/>
      <c r="K60" s="185"/>
      <c r="L60" s="186"/>
      <c r="M60" s="187"/>
      <c r="N60" s="187"/>
    </row>
    <row r="61" spans="1:15">
      <c r="A61" s="28" t="s">
        <v>23</v>
      </c>
      <c r="B61" s="21">
        <v>728</v>
      </c>
      <c r="C61" s="21">
        <v>76</v>
      </c>
      <c r="I61" s="184"/>
      <c r="J61" s="184"/>
      <c r="K61" s="185"/>
      <c r="L61" s="186"/>
      <c r="M61" s="187"/>
      <c r="N61" s="187"/>
    </row>
    <row r="62" spans="1:15">
      <c r="A62" s="28" t="s">
        <v>24</v>
      </c>
      <c r="B62" s="21">
        <v>703</v>
      </c>
      <c r="C62" s="21">
        <v>84</v>
      </c>
      <c r="I62" s="184"/>
      <c r="J62" s="184"/>
      <c r="K62" s="185"/>
      <c r="L62" s="186"/>
      <c r="M62" s="187"/>
      <c r="N62" s="187"/>
    </row>
    <row r="63" spans="1:15" ht="15.75" thickBot="1">
      <c r="A63" s="29" t="s">
        <v>25</v>
      </c>
      <c r="B63" s="22">
        <v>719</v>
      </c>
      <c r="C63" s="22">
        <v>98</v>
      </c>
      <c r="I63" s="184"/>
      <c r="J63" s="184"/>
      <c r="K63" s="185"/>
      <c r="L63" s="186"/>
      <c r="M63" s="187"/>
      <c r="N63" s="187"/>
    </row>
    <row r="64" spans="1:15" ht="15.75" thickBot="1">
      <c r="D64" s="17"/>
      <c r="I64" s="188"/>
      <c r="J64" s="188"/>
      <c r="K64" s="188"/>
      <c r="L64" s="188"/>
      <c r="M64" s="188"/>
      <c r="N64" s="188"/>
    </row>
    <row r="65" spans="1:13" ht="15.75" thickBot="1">
      <c r="A65" s="24" t="s">
        <v>36</v>
      </c>
      <c r="B65" s="38" t="s">
        <v>31</v>
      </c>
      <c r="C65" s="31" t="s">
        <v>32</v>
      </c>
      <c r="D65" s="65"/>
      <c r="G65" s="188"/>
      <c r="H65" s="184"/>
      <c r="I65" s="184"/>
      <c r="J65" s="189"/>
      <c r="K65" s="186"/>
      <c r="L65" s="187"/>
      <c r="M65" s="187"/>
    </row>
    <row r="66" spans="1:13">
      <c r="A66" s="26" t="s">
        <v>20</v>
      </c>
      <c r="B66" s="90">
        <v>815</v>
      </c>
      <c r="C66" s="123">
        <v>22</v>
      </c>
      <c r="D66" s="45"/>
      <c r="G66" s="188"/>
      <c r="H66" s="184"/>
      <c r="I66" s="184"/>
      <c r="J66" s="185"/>
      <c r="K66" s="186"/>
      <c r="L66" s="187"/>
      <c r="M66" s="187"/>
    </row>
    <row r="67" spans="1:13">
      <c r="A67" s="28" t="s">
        <v>21</v>
      </c>
      <c r="B67" s="56">
        <v>1094</v>
      </c>
      <c r="C67" s="124">
        <v>152</v>
      </c>
      <c r="D67" s="45"/>
      <c r="G67" s="188"/>
      <c r="H67" s="184"/>
      <c r="I67" s="184"/>
      <c r="J67" s="185"/>
      <c r="K67" s="186"/>
      <c r="L67" s="187"/>
      <c r="M67" s="187"/>
    </row>
    <row r="68" spans="1:13">
      <c r="A68" s="28" t="s">
        <v>22</v>
      </c>
      <c r="B68" s="56">
        <v>968</v>
      </c>
      <c r="C68" s="124">
        <v>150</v>
      </c>
      <c r="D68" s="45"/>
      <c r="G68" s="188"/>
      <c r="H68" s="184"/>
      <c r="I68" s="184"/>
      <c r="J68" s="185"/>
      <c r="K68" s="186"/>
      <c r="L68" s="187"/>
      <c r="M68" s="187"/>
    </row>
    <row r="69" spans="1:13">
      <c r="A69" s="28" t="s">
        <v>23</v>
      </c>
      <c r="B69" s="56">
        <v>1068</v>
      </c>
      <c r="C69" s="124">
        <v>155</v>
      </c>
      <c r="D69" s="45"/>
      <c r="G69" s="188"/>
      <c r="H69" s="184"/>
      <c r="I69" s="184"/>
      <c r="J69" s="185"/>
      <c r="K69" s="186"/>
      <c r="L69" s="187"/>
      <c r="M69" s="187"/>
    </row>
    <row r="70" spans="1:13">
      <c r="A70" s="28" t="s">
        <v>24</v>
      </c>
      <c r="B70" s="56">
        <v>1070</v>
      </c>
      <c r="C70" s="124">
        <v>151</v>
      </c>
      <c r="D70" s="45"/>
      <c r="G70" s="188"/>
      <c r="H70" s="184"/>
      <c r="I70" s="184"/>
      <c r="J70" s="185"/>
      <c r="K70" s="186"/>
      <c r="L70" s="187"/>
      <c r="M70" s="187"/>
    </row>
    <row r="71" spans="1:13" ht="15.75" thickBot="1">
      <c r="A71" s="29" t="s">
        <v>25</v>
      </c>
      <c r="B71" s="57">
        <v>811</v>
      </c>
      <c r="C71" s="125">
        <v>153</v>
      </c>
      <c r="D71" s="45"/>
      <c r="G71" s="188"/>
      <c r="H71" s="188"/>
      <c r="I71" s="188"/>
      <c r="J71" s="188"/>
      <c r="K71" s="188"/>
      <c r="L71" s="188"/>
      <c r="M71" s="188"/>
    </row>
    <row r="72" spans="1:13" ht="15.75" thickBot="1">
      <c r="D72" s="17"/>
    </row>
    <row r="73" spans="1:13" ht="15.75" thickBot="1">
      <c r="A73" s="142" t="s">
        <v>90</v>
      </c>
      <c r="B73" s="24" t="s">
        <v>31</v>
      </c>
      <c r="C73" s="31" t="s">
        <v>32</v>
      </c>
      <c r="D73" s="65"/>
    </row>
    <row r="74" spans="1:13">
      <c r="A74" s="48">
        <v>1</v>
      </c>
      <c r="B74" s="20" t="s">
        <v>350</v>
      </c>
      <c r="C74" s="123" t="s">
        <v>344</v>
      </c>
      <c r="D74" s="45"/>
    </row>
    <row r="75" spans="1:13">
      <c r="A75" s="28">
        <v>2</v>
      </c>
      <c r="B75" s="21" t="s">
        <v>351</v>
      </c>
      <c r="C75" s="124" t="s">
        <v>345</v>
      </c>
      <c r="D75" s="45"/>
    </row>
    <row r="76" spans="1:13" ht="15.75" thickBot="1">
      <c r="A76" s="29">
        <v>3</v>
      </c>
      <c r="B76" s="22" t="s">
        <v>352</v>
      </c>
      <c r="C76" s="125" t="s">
        <v>346</v>
      </c>
      <c r="D76" s="45"/>
    </row>
    <row r="77" spans="1:13" ht="15.75" thickBot="1"/>
    <row r="78" spans="1:13" ht="15.75" thickBot="1">
      <c r="A78" s="368" t="s">
        <v>203</v>
      </c>
      <c r="B78" s="370"/>
      <c r="C78" s="368" t="s">
        <v>204</v>
      </c>
      <c r="D78" s="370"/>
    </row>
    <row r="79" spans="1:13" ht="15.75" thickBot="1">
      <c r="A79" s="24" t="s">
        <v>37</v>
      </c>
      <c r="B79" s="25" t="s">
        <v>38</v>
      </c>
      <c r="C79" s="24" t="s">
        <v>37</v>
      </c>
      <c r="D79" s="25" t="s">
        <v>38</v>
      </c>
    </row>
    <row r="80" spans="1:13">
      <c r="A80" s="166" t="s">
        <v>200</v>
      </c>
      <c r="B80" s="20" t="s">
        <v>205</v>
      </c>
      <c r="C80" s="166" t="s">
        <v>200</v>
      </c>
      <c r="D80" s="20" t="s">
        <v>207</v>
      </c>
    </row>
    <row r="81" spans="1:17">
      <c r="A81" s="49" t="s">
        <v>201</v>
      </c>
      <c r="B81" s="21" t="s">
        <v>206</v>
      </c>
      <c r="C81" s="49" t="s">
        <v>201</v>
      </c>
      <c r="D81" s="21" t="s">
        <v>208</v>
      </c>
    </row>
    <row r="82" spans="1:17" ht="15.75" thickBot="1">
      <c r="A82" s="50" t="s">
        <v>202</v>
      </c>
      <c r="B82" s="22" t="s">
        <v>205</v>
      </c>
      <c r="C82" s="50" t="s">
        <v>202</v>
      </c>
      <c r="D82" s="22" t="s">
        <v>209</v>
      </c>
    </row>
    <row r="83" spans="1:17" ht="15.75" thickBot="1"/>
    <row r="84" spans="1:17" ht="15.75" thickBot="1">
      <c r="B84" s="368" t="s">
        <v>34</v>
      </c>
      <c r="C84" s="370"/>
      <c r="D84" s="368" t="s">
        <v>35</v>
      </c>
      <c r="E84" s="370"/>
    </row>
    <row r="85" spans="1:17" ht="15.75" thickBot="1">
      <c r="A85" s="147" t="s">
        <v>42</v>
      </c>
      <c r="B85" s="25" t="s">
        <v>43</v>
      </c>
      <c r="C85" s="25" t="s">
        <v>44</v>
      </c>
      <c r="D85" s="25" t="s">
        <v>43</v>
      </c>
      <c r="E85" s="25" t="s">
        <v>44</v>
      </c>
    </row>
    <row r="86" spans="1:17">
      <c r="A86" s="26" t="s">
        <v>39</v>
      </c>
      <c r="B86" s="27"/>
      <c r="C86" s="27"/>
      <c r="D86" s="27"/>
      <c r="E86" s="27"/>
    </row>
    <row r="87" spans="1:17">
      <c r="A87" s="28" t="s">
        <v>40</v>
      </c>
      <c r="B87" s="21"/>
      <c r="C87" s="21"/>
      <c r="D87" s="21"/>
      <c r="E87" s="21"/>
    </row>
    <row r="88" spans="1:17" ht="15.75" thickBot="1">
      <c r="A88" s="29" t="s">
        <v>41</v>
      </c>
      <c r="B88" s="22"/>
      <c r="C88" s="22"/>
      <c r="D88" s="22"/>
      <c r="E88" s="22"/>
    </row>
    <row r="91" spans="1:17" ht="15.75" thickBot="1">
      <c r="A91" s="201">
        <v>40716</v>
      </c>
      <c r="B91" s="389"/>
      <c r="C91" s="389"/>
      <c r="D91" s="392"/>
      <c r="E91" s="392"/>
    </row>
    <row r="92" spans="1:17" ht="15.75" thickBot="1">
      <c r="A92" s="44"/>
      <c r="B92" s="381" t="s">
        <v>45</v>
      </c>
      <c r="C92" s="382"/>
      <c r="D92" s="390" t="s">
        <v>61</v>
      </c>
      <c r="E92" s="391"/>
      <c r="F92" s="368" t="s">
        <v>67</v>
      </c>
      <c r="G92" s="370"/>
      <c r="N92" s="17"/>
      <c r="O92" s="389"/>
      <c r="P92" s="389"/>
      <c r="Q92" s="17"/>
    </row>
    <row r="93" spans="1:17" ht="15.75" thickBot="1">
      <c r="A93" s="25" t="s">
        <v>46</v>
      </c>
      <c r="B93" s="38" t="s">
        <v>47</v>
      </c>
      <c r="C93" s="38" t="s">
        <v>48</v>
      </c>
      <c r="D93" s="25" t="s">
        <v>47</v>
      </c>
      <c r="E93" s="24" t="s">
        <v>48</v>
      </c>
      <c r="F93" s="31" t="s">
        <v>47</v>
      </c>
      <c r="G93" s="39" t="s">
        <v>141</v>
      </c>
      <c r="N93" s="17"/>
      <c r="O93" s="17"/>
      <c r="P93" s="17"/>
      <c r="Q93" s="17"/>
    </row>
    <row r="94" spans="1:17">
      <c r="A94" s="48" t="s">
        <v>49</v>
      </c>
      <c r="B94" s="67">
        <v>472.95518937706998</v>
      </c>
      <c r="C94" s="67">
        <v>13.049572402585801</v>
      </c>
      <c r="D94" s="54">
        <v>744.52863623946905</v>
      </c>
      <c r="E94" s="83">
        <v>32.8716773200509</v>
      </c>
      <c r="F94" s="212">
        <f>B94-D94</f>
        <v>-271.57344686239907</v>
      </c>
      <c r="G94" s="139">
        <f>F94/840</f>
        <v>-0.32330172245523697</v>
      </c>
      <c r="N94" s="17"/>
      <c r="O94" s="17"/>
      <c r="P94" s="17"/>
      <c r="Q94" s="17"/>
    </row>
    <row r="95" spans="1:17">
      <c r="A95" s="28" t="s">
        <v>50</v>
      </c>
      <c r="B95" s="68">
        <v>314.70658795535599</v>
      </c>
      <c r="C95" s="68">
        <v>8.8558390240171203</v>
      </c>
      <c r="D95" s="55">
        <v>686.46254613250505</v>
      </c>
      <c r="E95" s="84">
        <v>23.201607034810699</v>
      </c>
      <c r="F95" s="215">
        <f t="shared" ref="F95:F105" si="0">B95-D95</f>
        <v>-371.75595817714907</v>
      </c>
      <c r="G95" s="140">
        <f t="shared" ref="G95:G99" si="1">F95/840</f>
        <v>-0.44256661687755844</v>
      </c>
      <c r="N95" s="17"/>
      <c r="O95" s="17"/>
      <c r="P95" s="17"/>
      <c r="Q95" s="17"/>
    </row>
    <row r="96" spans="1:17">
      <c r="A96" s="28" t="s">
        <v>51</v>
      </c>
      <c r="B96" s="68">
        <v>-70.779479955788702</v>
      </c>
      <c r="C96" s="68">
        <v>9.3705136730930398</v>
      </c>
      <c r="D96" s="55">
        <v>1925.26234698296</v>
      </c>
      <c r="E96" s="84">
        <v>21.290653466326098</v>
      </c>
      <c r="F96" s="215">
        <f t="shared" si="0"/>
        <v>-1996.0418269387487</v>
      </c>
      <c r="G96" s="140">
        <f t="shared" si="1"/>
        <v>-2.376240270165177</v>
      </c>
      <c r="N96" s="17"/>
      <c r="O96" s="143"/>
      <c r="P96" s="17"/>
      <c r="Q96" s="17"/>
    </row>
    <row r="97" spans="1:17">
      <c r="A97" s="28" t="s">
        <v>52</v>
      </c>
      <c r="B97" s="68">
        <v>464.82470422610601</v>
      </c>
      <c r="C97" s="68">
        <v>12.6704170979029</v>
      </c>
      <c r="D97" s="55">
        <v>358.03660584613698</v>
      </c>
      <c r="E97" s="84">
        <v>21.207889146437399</v>
      </c>
      <c r="F97" s="215">
        <f t="shared" si="0"/>
        <v>106.78809837996903</v>
      </c>
      <c r="G97" s="140">
        <f t="shared" si="1"/>
        <v>0.12712868854758216</v>
      </c>
      <c r="N97" s="17"/>
      <c r="O97" s="60"/>
      <c r="P97" s="17"/>
      <c r="Q97" s="17"/>
    </row>
    <row r="98" spans="1:17">
      <c r="A98" s="28" t="s">
        <v>53</v>
      </c>
      <c r="B98" s="68">
        <v>-10.747723690000001</v>
      </c>
      <c r="C98" s="68">
        <v>6.4303029941310301</v>
      </c>
      <c r="D98" s="55">
        <v>244.59272399172201</v>
      </c>
      <c r="E98" s="84">
        <v>21.717876446280201</v>
      </c>
      <c r="F98" s="215">
        <f t="shared" si="0"/>
        <v>-255.34044768172203</v>
      </c>
      <c r="G98" s="140">
        <f t="shared" si="1"/>
        <v>-0.30397672343062143</v>
      </c>
      <c r="N98" s="17"/>
      <c r="O98" s="60"/>
      <c r="P98" s="17"/>
      <c r="Q98" s="17"/>
    </row>
    <row r="99" spans="1:17" ht="15.75" thickBot="1">
      <c r="A99" s="29" t="s">
        <v>54</v>
      </c>
      <c r="B99" s="69">
        <v>-32.892762260062199</v>
      </c>
      <c r="C99" s="69">
        <v>8.4738426674643605</v>
      </c>
      <c r="D99" s="70">
        <v>-325.75424697622702</v>
      </c>
      <c r="E99" s="85">
        <v>24.655221087206499</v>
      </c>
      <c r="F99" s="218">
        <f t="shared" si="0"/>
        <v>292.8614847161648</v>
      </c>
      <c r="G99" s="141">
        <f t="shared" si="1"/>
        <v>0.34864462466210094</v>
      </c>
      <c r="N99" s="17"/>
      <c r="O99" s="60"/>
      <c r="P99" s="17"/>
      <c r="Q99" s="17"/>
    </row>
    <row r="100" spans="1:17">
      <c r="A100" s="26" t="s">
        <v>55</v>
      </c>
      <c r="B100" s="202">
        <v>-259.62116701900999</v>
      </c>
      <c r="C100" s="202">
        <v>23.634163940042601</v>
      </c>
      <c r="D100" s="205">
        <v>2679.7842869460601</v>
      </c>
      <c r="E100" s="206">
        <v>38.9644187298017</v>
      </c>
      <c r="F100" s="212">
        <f t="shared" si="0"/>
        <v>-2939.4054539650701</v>
      </c>
      <c r="G100" s="314">
        <f>F100/(4*840)</f>
        <v>-0.87482305177531849</v>
      </c>
      <c r="N100" s="17"/>
      <c r="O100" s="60"/>
      <c r="P100" s="17"/>
      <c r="Q100" s="17"/>
    </row>
    <row r="101" spans="1:17">
      <c r="A101" s="28" t="s">
        <v>56</v>
      </c>
      <c r="B101" s="203">
        <v>865.24691636860405</v>
      </c>
      <c r="C101" s="203">
        <v>55.676154643056201</v>
      </c>
      <c r="D101" s="55">
        <v>2236.2908378839502</v>
      </c>
      <c r="E101" s="84">
        <v>40.5946367181757</v>
      </c>
      <c r="F101" s="215">
        <f t="shared" si="0"/>
        <v>-1371.043921515346</v>
      </c>
      <c r="G101" s="140">
        <f t="shared" ref="G101:G105" si="2">F101/(4*840)</f>
        <v>-0.40804878616528156</v>
      </c>
      <c r="N101" s="17"/>
      <c r="O101" s="60"/>
      <c r="P101" s="17"/>
      <c r="Q101" s="17"/>
    </row>
    <row r="102" spans="1:17">
      <c r="A102" s="28" t="s">
        <v>57</v>
      </c>
      <c r="B102" s="203">
        <v>751.62730957567703</v>
      </c>
      <c r="C102" s="203">
        <v>39.411595691463297</v>
      </c>
      <c r="D102" s="55">
        <v>3813.1588929295499</v>
      </c>
      <c r="E102" s="84">
        <v>35.640545702260603</v>
      </c>
      <c r="F102" s="215">
        <f t="shared" si="0"/>
        <v>-3061.531583353873</v>
      </c>
      <c r="G102" s="140">
        <f t="shared" si="2"/>
        <v>-0.91117011409341453</v>
      </c>
      <c r="N102" s="17"/>
      <c r="O102" s="60"/>
      <c r="P102" s="17"/>
      <c r="Q102" s="17"/>
    </row>
    <row r="103" spans="1:17">
      <c r="A103" s="28" t="s">
        <v>58</v>
      </c>
      <c r="B103" s="203">
        <v>1044.7528127431899</v>
      </c>
      <c r="C103" s="203">
        <v>43.526412307542103</v>
      </c>
      <c r="D103" s="55">
        <v>-2252.5862450301602</v>
      </c>
      <c r="E103" s="84">
        <v>52.058818487786802</v>
      </c>
      <c r="F103" s="215">
        <f t="shared" si="0"/>
        <v>3297.3390577733499</v>
      </c>
      <c r="G103" s="140">
        <f t="shared" si="2"/>
        <v>0.98135091005159225</v>
      </c>
      <c r="N103" s="17"/>
      <c r="O103" s="17"/>
      <c r="P103" s="17"/>
      <c r="Q103" s="17"/>
    </row>
    <row r="104" spans="1:17">
      <c r="A104" s="28" t="s">
        <v>59</v>
      </c>
      <c r="B104" s="203">
        <v>-1284.0315063968301</v>
      </c>
      <c r="C104" s="203">
        <v>109.27639071710399</v>
      </c>
      <c r="D104" s="55">
        <v>-1166.8246620893501</v>
      </c>
      <c r="E104" s="84">
        <v>51.3308292277273</v>
      </c>
      <c r="F104" s="215">
        <f t="shared" si="0"/>
        <v>-117.20684430747997</v>
      </c>
      <c r="G104" s="140">
        <f t="shared" si="2"/>
        <v>-3.4882989377226184E-2</v>
      </c>
      <c r="N104" s="17"/>
      <c r="O104" s="17"/>
      <c r="P104" s="17"/>
      <c r="Q104" s="17"/>
    </row>
    <row r="105" spans="1:17" ht="15.75" thickBot="1">
      <c r="A105" s="29" t="s">
        <v>60</v>
      </c>
      <c r="B105" s="204">
        <v>-8.0315540473179698</v>
      </c>
      <c r="C105" s="204">
        <v>160.626894265586</v>
      </c>
      <c r="D105" s="70">
        <v>-631.20828086882796</v>
      </c>
      <c r="E105" s="85">
        <v>58.945629310893899</v>
      </c>
      <c r="F105" s="218">
        <f t="shared" si="0"/>
        <v>623.17672682150999</v>
      </c>
      <c r="G105" s="141">
        <f t="shared" si="2"/>
        <v>0.18546926393497321</v>
      </c>
      <c r="N105" s="17"/>
      <c r="O105" s="17"/>
      <c r="P105" s="17"/>
      <c r="Q105" s="17"/>
    </row>
    <row r="106" spans="1:17">
      <c r="A106" s="176"/>
      <c r="B106" s="145"/>
      <c r="C106" s="146"/>
      <c r="D106" s="17"/>
      <c r="E106" s="17"/>
      <c r="F106" s="17"/>
      <c r="G106" s="17"/>
      <c r="H106" s="17"/>
      <c r="N106" s="17"/>
      <c r="O106" s="17"/>
      <c r="P106" s="17"/>
      <c r="Q106" s="17"/>
    </row>
    <row r="107" spans="1:17">
      <c r="N107" s="17"/>
      <c r="O107" s="17"/>
      <c r="P107" s="17"/>
      <c r="Q107" s="17"/>
    </row>
    <row r="108" spans="1:17">
      <c r="N108" s="17"/>
      <c r="O108" s="17"/>
      <c r="P108" s="17"/>
      <c r="Q108" s="17"/>
    </row>
    <row r="109" spans="1:17">
      <c r="A109"/>
      <c r="B109"/>
      <c r="C109"/>
      <c r="D109" s="65"/>
    </row>
    <row r="110" spans="1:17" ht="15.75" thickBot="1">
      <c r="A110"/>
      <c r="B110"/>
      <c r="C110"/>
    </row>
    <row r="111" spans="1:17" ht="15.75" thickBot="1">
      <c r="A111" s="24" t="s">
        <v>46</v>
      </c>
      <c r="B111" s="71" t="s">
        <v>63</v>
      </c>
      <c r="C111" s="71" t="s">
        <v>64</v>
      </c>
      <c r="D111" s="103" t="s">
        <v>223</v>
      </c>
      <c r="E111" s="103" t="s">
        <v>223</v>
      </c>
      <c r="F111" s="296" t="s">
        <v>65</v>
      </c>
      <c r="G111" s="31" t="s">
        <v>66</v>
      </c>
    </row>
    <row r="112" spans="1:17">
      <c r="A112" s="48" t="s">
        <v>49</v>
      </c>
      <c r="B112" s="72">
        <v>15000</v>
      </c>
      <c r="C112" s="293">
        <v>-20000</v>
      </c>
      <c r="D112" s="273">
        <f>B112/840</f>
        <v>17.857142857142858</v>
      </c>
      <c r="E112" s="273">
        <f>C112/840</f>
        <v>-23.80952380952381</v>
      </c>
      <c r="F112" s="88"/>
      <c r="G112" s="62" t="s">
        <v>126</v>
      </c>
    </row>
    <row r="113" spans="1:7">
      <c r="A113" s="28" t="s">
        <v>50</v>
      </c>
      <c r="B113" s="73">
        <v>17000</v>
      </c>
      <c r="C113" s="294">
        <v>-19000</v>
      </c>
      <c r="D113" s="215">
        <f t="shared" ref="D113:D117" si="3">B113/840</f>
        <v>20.238095238095237</v>
      </c>
      <c r="E113" s="215">
        <f t="shared" ref="E113:E115" si="4">C113/840</f>
        <v>-22.61904761904762</v>
      </c>
      <c r="F113" s="74"/>
      <c r="G113" s="63" t="s">
        <v>126</v>
      </c>
    </row>
    <row r="114" spans="1:7">
      <c r="A114" s="28" t="s">
        <v>51</v>
      </c>
      <c r="B114" s="73">
        <v>15500</v>
      </c>
      <c r="C114" s="294">
        <v>-20000</v>
      </c>
      <c r="D114" s="215">
        <f t="shared" si="3"/>
        <v>18.452380952380953</v>
      </c>
      <c r="E114" s="215">
        <f t="shared" si="4"/>
        <v>-23.80952380952381</v>
      </c>
      <c r="F114" s="74"/>
      <c r="G114" s="63" t="s">
        <v>126</v>
      </c>
    </row>
    <row r="115" spans="1:7">
      <c r="A115" s="28" t="s">
        <v>52</v>
      </c>
      <c r="B115" s="73">
        <v>22500</v>
      </c>
      <c r="C115" s="294">
        <v>-27000</v>
      </c>
      <c r="D115" s="215">
        <f t="shared" si="3"/>
        <v>26.785714285714285</v>
      </c>
      <c r="E115" s="215">
        <f t="shared" si="4"/>
        <v>-32.142857142857146</v>
      </c>
      <c r="F115" s="74"/>
      <c r="G115" s="63" t="s">
        <v>126</v>
      </c>
    </row>
    <row r="116" spans="1:7">
      <c r="A116" s="28" t="s">
        <v>53</v>
      </c>
      <c r="B116" s="404" t="s">
        <v>224</v>
      </c>
      <c r="C116" s="405"/>
      <c r="D116" s="297"/>
      <c r="E116" s="297"/>
      <c r="F116" s="74"/>
      <c r="G116" s="63" t="s">
        <v>126</v>
      </c>
    </row>
    <row r="117" spans="1:7" ht="15.75" thickBot="1">
      <c r="A117" s="29" t="s">
        <v>54</v>
      </c>
      <c r="B117" s="75">
        <v>24000</v>
      </c>
      <c r="C117" s="295">
        <v>-21000</v>
      </c>
      <c r="D117" s="218">
        <f t="shared" si="3"/>
        <v>28.571428571428573</v>
      </c>
      <c r="E117" s="218">
        <f>C117/840</f>
        <v>-25</v>
      </c>
      <c r="F117" s="76"/>
      <c r="G117" s="64" t="s">
        <v>126</v>
      </c>
    </row>
    <row r="118" spans="1:7">
      <c r="A118" s="26" t="s">
        <v>55</v>
      </c>
      <c r="B118" s="287" t="s">
        <v>125</v>
      </c>
      <c r="C118" s="169" t="s">
        <v>125</v>
      </c>
      <c r="D118" s="298"/>
      <c r="E118" s="298"/>
      <c r="F118" s="123" t="s">
        <v>252</v>
      </c>
      <c r="G118" s="198" t="s">
        <v>126</v>
      </c>
    </row>
    <row r="119" spans="1:7">
      <c r="A119" s="28" t="s">
        <v>56</v>
      </c>
      <c r="B119" s="52" t="s">
        <v>125</v>
      </c>
      <c r="C119" s="170" t="s">
        <v>125</v>
      </c>
      <c r="D119" s="297"/>
      <c r="E119" s="297"/>
      <c r="F119" s="124" t="s">
        <v>252</v>
      </c>
      <c r="G119" s="199" t="s">
        <v>126</v>
      </c>
    </row>
    <row r="120" spans="1:7">
      <c r="A120" s="28" t="s">
        <v>57</v>
      </c>
      <c r="B120" s="52" t="s">
        <v>125</v>
      </c>
      <c r="C120" s="170" t="s">
        <v>125</v>
      </c>
      <c r="D120" s="297"/>
      <c r="E120" s="297"/>
      <c r="F120" s="124" t="s">
        <v>252</v>
      </c>
      <c r="G120" s="199" t="s">
        <v>126</v>
      </c>
    </row>
    <row r="121" spans="1:7">
      <c r="A121" s="28" t="s">
        <v>58</v>
      </c>
      <c r="B121" s="52" t="s">
        <v>125</v>
      </c>
      <c r="C121" s="86">
        <v>-29000</v>
      </c>
      <c r="D121" s="297"/>
      <c r="E121" s="215">
        <f>C121/(4*840)</f>
        <v>-8.6309523809523814</v>
      </c>
      <c r="F121" s="124" t="s">
        <v>252</v>
      </c>
      <c r="G121" s="199" t="s">
        <v>126</v>
      </c>
    </row>
    <row r="122" spans="1:7">
      <c r="A122" s="28" t="s">
        <v>59</v>
      </c>
      <c r="B122" s="52" t="s">
        <v>125</v>
      </c>
      <c r="C122" s="170" t="s">
        <v>125</v>
      </c>
      <c r="D122" s="297"/>
      <c r="E122" s="297"/>
      <c r="F122" s="124" t="s">
        <v>252</v>
      </c>
      <c r="G122" s="199" t="s">
        <v>126</v>
      </c>
    </row>
    <row r="123" spans="1:7" ht="15.75" thickBot="1">
      <c r="A123" s="29" t="s">
        <v>60</v>
      </c>
      <c r="B123" s="53" t="s">
        <v>125</v>
      </c>
      <c r="C123" s="171" t="s">
        <v>125</v>
      </c>
      <c r="D123" s="299"/>
      <c r="E123" s="299"/>
      <c r="F123" s="125" t="s">
        <v>252</v>
      </c>
      <c r="G123" s="200" t="s">
        <v>126</v>
      </c>
    </row>
    <row r="126" spans="1:7" ht="15.75" thickBot="1"/>
    <row r="127" spans="1:7" ht="15.75" thickBot="1">
      <c r="A127" s="82" t="s">
        <v>77</v>
      </c>
      <c r="B127" s="175" t="s">
        <v>75</v>
      </c>
      <c r="C127" s="178" t="s">
        <v>165</v>
      </c>
      <c r="D127" s="178" t="s">
        <v>76</v>
      </c>
      <c r="E127" s="222" t="s">
        <v>166</v>
      </c>
      <c r="F127" s="223" t="s">
        <v>141</v>
      </c>
    </row>
    <row r="128" spans="1:7">
      <c r="A128" s="207" t="s">
        <v>49</v>
      </c>
      <c r="B128" s="210">
        <v>-16724.186000000002</v>
      </c>
      <c r="C128" s="211">
        <v>468</v>
      </c>
      <c r="D128" s="219">
        <v>16129.742</v>
      </c>
      <c r="E128" s="212">
        <f>D128-B128</f>
        <v>32853.928</v>
      </c>
      <c r="F128" s="224">
        <f>E128/840</f>
        <v>39.111819047619051</v>
      </c>
    </row>
    <row r="129" spans="1:6">
      <c r="A129" s="208" t="s">
        <v>50</v>
      </c>
      <c r="B129" s="213">
        <v>-15639.082</v>
      </c>
      <c r="C129" s="214">
        <v>269</v>
      </c>
      <c r="D129" s="220">
        <v>17089.232</v>
      </c>
      <c r="E129" s="215">
        <f t="shared" ref="E129:E139" si="5">D129-B129</f>
        <v>32728.313999999998</v>
      </c>
      <c r="F129" s="132">
        <f t="shared" ref="F129:F133" si="6">E129/840</f>
        <v>38.96227857142857</v>
      </c>
    </row>
    <row r="130" spans="1:6">
      <c r="A130" s="208" t="s">
        <v>51</v>
      </c>
      <c r="B130" s="213">
        <v>-16396.612000000001</v>
      </c>
      <c r="C130" s="214">
        <v>1703</v>
      </c>
      <c r="D130" s="220">
        <v>15692.603999999999</v>
      </c>
      <c r="E130" s="215">
        <f t="shared" si="5"/>
        <v>32089.216</v>
      </c>
      <c r="F130" s="132">
        <f t="shared" si="6"/>
        <v>38.20144761904762</v>
      </c>
    </row>
    <row r="131" spans="1:6">
      <c r="A131" s="208" t="s">
        <v>52</v>
      </c>
      <c r="B131" s="213">
        <v>-14874.04</v>
      </c>
      <c r="C131" s="214">
        <v>400</v>
      </c>
      <c r="D131" s="220">
        <v>15665.422</v>
      </c>
      <c r="E131" s="215">
        <f t="shared" si="5"/>
        <v>30539.462</v>
      </c>
      <c r="F131" s="132">
        <f t="shared" si="6"/>
        <v>36.356502380952378</v>
      </c>
    </row>
    <row r="132" spans="1:6">
      <c r="A132" s="208" t="s">
        <v>53</v>
      </c>
      <c r="B132" s="213">
        <v>-14180.528</v>
      </c>
      <c r="C132" s="214">
        <v>743</v>
      </c>
      <c r="D132" s="220">
        <v>15634.874</v>
      </c>
      <c r="E132" s="215">
        <f t="shared" si="5"/>
        <v>29815.402000000002</v>
      </c>
      <c r="F132" s="132">
        <f t="shared" si="6"/>
        <v>35.494526190476194</v>
      </c>
    </row>
    <row r="133" spans="1:6">
      <c r="A133" s="208" t="s">
        <v>54</v>
      </c>
      <c r="B133" s="213">
        <v>-14244.054</v>
      </c>
      <c r="C133" s="214">
        <v>436</v>
      </c>
      <c r="D133" s="220">
        <v>15122.358</v>
      </c>
      <c r="E133" s="215">
        <f t="shared" si="5"/>
        <v>29366.412</v>
      </c>
      <c r="F133" s="132">
        <f t="shared" si="6"/>
        <v>34.960014285714287</v>
      </c>
    </row>
    <row r="134" spans="1:6">
      <c r="A134" s="208" t="s">
        <v>55</v>
      </c>
      <c r="B134" s="213">
        <v>-7818.58</v>
      </c>
      <c r="C134" s="214">
        <v>2493</v>
      </c>
      <c r="D134" s="220">
        <v>12795.252</v>
      </c>
      <c r="E134" s="215">
        <f t="shared" si="5"/>
        <v>20613.832000000002</v>
      </c>
      <c r="F134" s="132">
        <f>E134/(4*840)</f>
        <v>6.1350690476190479</v>
      </c>
    </row>
    <row r="135" spans="1:6">
      <c r="A135" s="208" t="s">
        <v>56</v>
      </c>
      <c r="B135" s="213">
        <v>-8111.1374000000096</v>
      </c>
      <c r="C135" s="214">
        <v>2058</v>
      </c>
      <c r="D135" s="220">
        <v>12251.706</v>
      </c>
      <c r="E135" s="215">
        <f t="shared" si="5"/>
        <v>20362.843400000009</v>
      </c>
      <c r="F135" s="132">
        <f t="shared" ref="F135:F139" si="7">E135/(4*840)</f>
        <v>6.0603700595238124</v>
      </c>
    </row>
    <row r="136" spans="1:6">
      <c r="A136" s="208" t="s">
        <v>57</v>
      </c>
      <c r="B136" s="213">
        <v>-6411.3224</v>
      </c>
      <c r="C136" s="214">
        <v>3654</v>
      </c>
      <c r="D136" s="220">
        <v>13703.812</v>
      </c>
      <c r="E136" s="215">
        <f t="shared" si="5"/>
        <v>20115.134399999999</v>
      </c>
      <c r="F136" s="132">
        <f t="shared" si="7"/>
        <v>5.9866471428571426</v>
      </c>
    </row>
    <row r="137" spans="1:6">
      <c r="A137" s="208" t="s">
        <v>58</v>
      </c>
      <c r="B137" s="213">
        <v>-13874.39</v>
      </c>
      <c r="C137" s="214">
        <v>-1145</v>
      </c>
      <c r="D137" s="220">
        <v>11539.781999999999</v>
      </c>
      <c r="E137" s="215">
        <f t="shared" si="5"/>
        <v>25414.171999999999</v>
      </c>
      <c r="F137" s="132">
        <f t="shared" si="7"/>
        <v>7.5637416666666661</v>
      </c>
    </row>
    <row r="138" spans="1:6">
      <c r="A138" s="208" t="s">
        <v>59</v>
      </c>
      <c r="B138" s="213">
        <v>-12415.762000000001</v>
      </c>
      <c r="C138" s="214">
        <v>6</v>
      </c>
      <c r="D138" s="220">
        <v>12375.548000000001</v>
      </c>
      <c r="E138" s="215">
        <f t="shared" si="5"/>
        <v>24791.31</v>
      </c>
      <c r="F138" s="132">
        <f t="shared" si="7"/>
        <v>7.3783660714285721</v>
      </c>
    </row>
    <row r="139" spans="1:6" ht="15.75" thickBot="1">
      <c r="A139" s="209" t="s">
        <v>60</v>
      </c>
      <c r="B139" s="216">
        <v>-12107.575999999999</v>
      </c>
      <c r="C139" s="217">
        <v>440</v>
      </c>
      <c r="D139" s="221">
        <v>12987.018</v>
      </c>
      <c r="E139" s="218">
        <f t="shared" si="5"/>
        <v>25094.593999999997</v>
      </c>
      <c r="F139" s="135">
        <f t="shared" si="7"/>
        <v>7.4686291666666662</v>
      </c>
    </row>
    <row r="141" spans="1:6" ht="15.75" thickBot="1"/>
    <row r="142" spans="1:6" ht="77.25" thickBot="1">
      <c r="B142" s="109" t="s">
        <v>37</v>
      </c>
      <c r="C142" s="121" t="s">
        <v>78</v>
      </c>
      <c r="D142" s="110" t="s">
        <v>79</v>
      </c>
      <c r="E142" s="111"/>
    </row>
    <row r="143" spans="1:6">
      <c r="A143" s="383" t="s">
        <v>34</v>
      </c>
      <c r="B143" s="26" t="s">
        <v>39</v>
      </c>
      <c r="C143" s="112"/>
      <c r="D143" s="113"/>
    </row>
    <row r="144" spans="1:6">
      <c r="A144" s="383"/>
      <c r="B144" s="28" t="s">
        <v>40</v>
      </c>
      <c r="C144" s="114"/>
      <c r="D144" s="115"/>
    </row>
    <row r="145" spans="1:5" ht="15.75" thickBot="1">
      <c r="A145" s="383"/>
      <c r="B145" s="28" t="s">
        <v>41</v>
      </c>
      <c r="C145" s="114"/>
      <c r="D145" s="115"/>
    </row>
    <row r="146" spans="1:5" ht="15.75" thickBot="1">
      <c r="A146" s="383"/>
      <c r="B146" s="118" t="s">
        <v>68</v>
      </c>
      <c r="C146" s="122" t="e">
        <f>AVERAGE(C143:C145)</f>
        <v>#DIV/0!</v>
      </c>
      <c r="D146" s="119" t="e">
        <f>AVERAGE(D143:D145)</f>
        <v>#DIV/0!</v>
      </c>
      <c r="E146" s="120" t="e">
        <f>D146-C146</f>
        <v>#DIV/0!</v>
      </c>
    </row>
    <row r="147" spans="1:5" ht="15.75" thickBot="1">
      <c r="B147"/>
      <c r="C147"/>
    </row>
    <row r="148" spans="1:5" ht="15.75" thickBot="1">
      <c r="B148" s="66" t="s">
        <v>46</v>
      </c>
      <c r="C148" s="38" t="s">
        <v>80</v>
      </c>
      <c r="D148" s="31" t="s">
        <v>80</v>
      </c>
      <c r="E148" s="61" t="s">
        <v>81</v>
      </c>
    </row>
    <row r="149" spans="1:5">
      <c r="A149" s="383" t="s">
        <v>34</v>
      </c>
      <c r="B149" s="26" t="s">
        <v>23</v>
      </c>
      <c r="C149" s="112"/>
      <c r="D149" s="113"/>
      <c r="E149" s="123">
        <f>D149-C149</f>
        <v>0</v>
      </c>
    </row>
    <row r="150" spans="1:5">
      <c r="A150" s="383"/>
      <c r="B150" s="28" t="s">
        <v>24</v>
      </c>
      <c r="C150" s="114"/>
      <c r="D150" s="115"/>
      <c r="E150" s="124">
        <f>D150-C150</f>
        <v>0</v>
      </c>
    </row>
    <row r="151" spans="1:5" ht="15.75" thickBot="1">
      <c r="A151" s="383"/>
      <c r="B151" s="29" t="s">
        <v>25</v>
      </c>
      <c r="C151" s="116"/>
      <c r="D151" s="117"/>
      <c r="E151" s="125">
        <f>D151-C151</f>
        <v>0</v>
      </c>
    </row>
    <row r="152" spans="1:5" ht="15.75" thickBot="1">
      <c r="B152" s="23"/>
      <c r="C152" s="23"/>
      <c r="D152" s="127" t="s">
        <v>68</v>
      </c>
      <c r="E152" s="126">
        <f>AVERAGE(E149:E151)</f>
        <v>0</v>
      </c>
    </row>
    <row r="153" spans="1:5">
      <c r="D153" s="17"/>
    </row>
    <row r="154" spans="1:5" ht="15.75" thickBot="1"/>
    <row r="155" spans="1:5" ht="77.25" thickBot="1">
      <c r="B155" s="109" t="s">
        <v>37</v>
      </c>
      <c r="C155" s="121" t="s">
        <v>78</v>
      </c>
      <c r="D155" s="110" t="s">
        <v>79</v>
      </c>
      <c r="E155" s="111"/>
    </row>
    <row r="156" spans="1:5">
      <c r="A156" s="383" t="s">
        <v>35</v>
      </c>
      <c r="B156" s="26" t="s">
        <v>39</v>
      </c>
      <c r="C156" s="112"/>
      <c r="D156" s="113"/>
    </row>
    <row r="157" spans="1:5">
      <c r="A157" s="383"/>
      <c r="B157" s="28" t="s">
        <v>40</v>
      </c>
      <c r="C157" s="114"/>
      <c r="D157" s="115"/>
    </row>
    <row r="158" spans="1:5" ht="15.75" thickBot="1">
      <c r="A158" s="383"/>
      <c r="B158" s="28" t="s">
        <v>41</v>
      </c>
      <c r="C158" s="114"/>
      <c r="D158" s="115"/>
    </row>
    <row r="159" spans="1:5" ht="15.75" thickBot="1">
      <c r="A159" s="383"/>
      <c r="B159" s="118" t="s">
        <v>68</v>
      </c>
      <c r="C159" s="122" t="e">
        <f>AVERAGE(C156:C158)</f>
        <v>#DIV/0!</v>
      </c>
      <c r="D159" s="119" t="e">
        <f>AVERAGE(D156:D158)</f>
        <v>#DIV/0!</v>
      </c>
      <c r="E159" s="120" t="e">
        <f>D159-C159</f>
        <v>#DIV/0!</v>
      </c>
    </row>
    <row r="160" spans="1:5" ht="15.75" thickBot="1">
      <c r="B160"/>
      <c r="C160"/>
    </row>
    <row r="161" spans="1:11" ht="15.75" thickBot="1">
      <c r="B161" s="66" t="s">
        <v>46</v>
      </c>
      <c r="C161" s="38" t="s">
        <v>80</v>
      </c>
      <c r="D161" s="31" t="s">
        <v>80</v>
      </c>
      <c r="E161" s="61" t="s">
        <v>81</v>
      </c>
    </row>
    <row r="162" spans="1:11">
      <c r="A162" s="383" t="s">
        <v>35</v>
      </c>
      <c r="B162" s="26" t="s">
        <v>23</v>
      </c>
      <c r="C162" s="112"/>
      <c r="D162" s="113"/>
      <c r="E162" s="123">
        <f>D162-C162</f>
        <v>0</v>
      </c>
    </row>
    <row r="163" spans="1:11">
      <c r="A163" s="383"/>
      <c r="B163" s="28" t="s">
        <v>24</v>
      </c>
      <c r="C163" s="114"/>
      <c r="D163" s="115"/>
      <c r="E163" s="124">
        <f>D163-C163</f>
        <v>0</v>
      </c>
    </row>
    <row r="164" spans="1:11" ht="15.75" thickBot="1">
      <c r="A164" s="383"/>
      <c r="B164" s="29" t="s">
        <v>25</v>
      </c>
      <c r="C164" s="116"/>
      <c r="D164" s="117"/>
      <c r="E164" s="125">
        <f>D164-C164</f>
        <v>0</v>
      </c>
    </row>
    <row r="165" spans="1:11" ht="15.75" thickBot="1">
      <c r="B165" s="23"/>
      <c r="C165" s="23"/>
      <c r="D165" s="127" t="s">
        <v>68</v>
      </c>
      <c r="E165" s="126">
        <f>AVERAGE(E162:E164)</f>
        <v>0</v>
      </c>
    </row>
    <row r="168" spans="1:11" ht="15.75" thickBot="1">
      <c r="A168" s="101" t="s">
        <v>199</v>
      </c>
    </row>
    <row r="169" spans="1:11" ht="15.75" thickBot="1">
      <c r="A169" t="s">
        <v>129</v>
      </c>
      <c r="C169" s="157" t="s">
        <v>127</v>
      </c>
      <c r="D169" s="158" t="s">
        <v>128</v>
      </c>
      <c r="E169" s="160" t="s">
        <v>62</v>
      </c>
    </row>
    <row r="170" spans="1:11">
      <c r="A170" t="s">
        <v>132</v>
      </c>
      <c r="B170" s="161" t="s">
        <v>23</v>
      </c>
      <c r="C170" s="290">
        <v>59</v>
      </c>
      <c r="D170" s="20">
        <v>-27014</v>
      </c>
      <c r="E170" s="123">
        <f>D170-C170</f>
        <v>-27073</v>
      </c>
      <c r="G170">
        <v>9</v>
      </c>
    </row>
    <row r="171" spans="1:11">
      <c r="B171" s="162" t="s">
        <v>24</v>
      </c>
      <c r="C171" s="77">
        <v>1306</v>
      </c>
      <c r="D171" s="21">
        <v>-26257</v>
      </c>
      <c r="E171" s="124">
        <f t="shared" ref="E171:E172" si="8">D171-C171</f>
        <v>-27563</v>
      </c>
    </row>
    <row r="172" spans="1:11" ht="15.75" thickBot="1">
      <c r="B172" s="163" t="s">
        <v>25</v>
      </c>
      <c r="C172" s="78">
        <v>1262</v>
      </c>
      <c r="D172" s="22">
        <v>-26202</v>
      </c>
      <c r="E172" s="125">
        <f t="shared" si="8"/>
        <v>-27464</v>
      </c>
    </row>
    <row r="173" spans="1:11">
      <c r="B173"/>
      <c r="E173" s="315">
        <f>AVERAGE(E170:E172)</f>
        <v>-27366.666666666668</v>
      </c>
      <c r="F173" t="s">
        <v>133</v>
      </c>
      <c r="I173">
        <f>E173/G170</f>
        <v>-3040.7407407407409</v>
      </c>
      <c r="J173" t="s">
        <v>137</v>
      </c>
    </row>
    <row r="174" spans="1:11">
      <c r="B174"/>
      <c r="E174" s="311">
        <f>E173/I178</f>
        <v>-8.2201219293389123</v>
      </c>
      <c r="F174" t="s">
        <v>141</v>
      </c>
    </row>
    <row r="175" spans="1:11">
      <c r="B175"/>
      <c r="E175">
        <f>15/0.458/(E174*0.001)/3</f>
        <v>-1328.0862086389477</v>
      </c>
      <c r="F175" t="s">
        <v>138</v>
      </c>
      <c r="I175">
        <f>2^15/20*40*2</f>
        <v>131072</v>
      </c>
      <c r="J175" t="s">
        <v>139</v>
      </c>
    </row>
    <row r="176" spans="1:11">
      <c r="B176"/>
      <c r="E176">
        <f>100*(E175+I176)/I176</f>
        <v>9.3456512874438413</v>
      </c>
      <c r="F176" t="s">
        <v>152</v>
      </c>
      <c r="I176">
        <v>1465</v>
      </c>
      <c r="J176" t="s">
        <v>138</v>
      </c>
      <c r="K176" t="s">
        <v>258</v>
      </c>
    </row>
    <row r="177" spans="1:11">
      <c r="B177"/>
    </row>
    <row r="178" spans="1:11" ht="15.75" thickBot="1">
      <c r="B178"/>
      <c r="I178">
        <f>0.0254*I175</f>
        <v>3329.2287999999999</v>
      </c>
      <c r="J178" t="s">
        <v>140</v>
      </c>
    </row>
    <row r="179" spans="1:11" ht="15.75" thickBot="1">
      <c r="A179" t="s">
        <v>130</v>
      </c>
      <c r="C179" s="158" t="s">
        <v>127</v>
      </c>
      <c r="D179" s="291" t="s">
        <v>198</v>
      </c>
      <c r="E179" s="288" t="s">
        <v>131</v>
      </c>
      <c r="F179" s="291" t="s">
        <v>135</v>
      </c>
      <c r="G179" s="288" t="s">
        <v>136</v>
      </c>
    </row>
    <row r="180" spans="1:11">
      <c r="A180"/>
      <c r="B180" s="97" t="s">
        <v>23</v>
      </c>
      <c r="C180" s="90">
        <v>594</v>
      </c>
      <c r="D180" s="81">
        <v>-7117</v>
      </c>
      <c r="E180" s="80">
        <v>-14865</v>
      </c>
      <c r="F180" s="81">
        <f>D180-C180</f>
        <v>-7711</v>
      </c>
      <c r="G180" s="80">
        <f>E180-C180</f>
        <v>-15459</v>
      </c>
    </row>
    <row r="181" spans="1:11">
      <c r="B181" s="99" t="s">
        <v>24</v>
      </c>
      <c r="C181" s="56">
        <v>969</v>
      </c>
      <c r="D181" s="58">
        <v>-6597</v>
      </c>
      <c r="E181" s="4">
        <v>-14160</v>
      </c>
      <c r="F181" s="58">
        <f t="shared" ref="F181:F182" si="9">D181-C181</f>
        <v>-7566</v>
      </c>
      <c r="G181" s="4">
        <f t="shared" ref="G181:G182" si="10">E181-C181</f>
        <v>-15129</v>
      </c>
    </row>
    <row r="182" spans="1:11" ht="15.75" thickBot="1">
      <c r="B182" s="98" t="s">
        <v>25</v>
      </c>
      <c r="C182" s="57">
        <v>989</v>
      </c>
      <c r="D182" s="59">
        <v>-6848</v>
      </c>
      <c r="E182" s="5">
        <v>-14712</v>
      </c>
      <c r="F182" s="59">
        <f t="shared" si="9"/>
        <v>-7837</v>
      </c>
      <c r="G182" s="5">
        <f t="shared" si="10"/>
        <v>-15701</v>
      </c>
    </row>
    <row r="183" spans="1:11">
      <c r="B183"/>
      <c r="F183">
        <f>AVERAGE(F180:F182)</f>
        <v>-7704.666666666667</v>
      </c>
      <c r="G183">
        <f>AVERAGE(G180:G182)</f>
        <v>-15429.666666666666</v>
      </c>
      <c r="H183" t="s">
        <v>133</v>
      </c>
      <c r="I183">
        <f>I178/4</f>
        <v>832.30719999999997</v>
      </c>
      <c r="J183" t="s">
        <v>140</v>
      </c>
    </row>
    <row r="184" spans="1:11">
      <c r="B184"/>
      <c r="F184">
        <f>F183/I183</f>
        <v>-9.2569986979166679</v>
      </c>
      <c r="G184">
        <f>G183/I183</f>
        <v>-18.538427478059383</v>
      </c>
      <c r="H184" t="s">
        <v>141</v>
      </c>
      <c r="I184">
        <v>1241</v>
      </c>
      <c r="J184" t="s">
        <v>138</v>
      </c>
      <c r="K184" t="s">
        <v>259</v>
      </c>
    </row>
    <row r="185" spans="1:11">
      <c r="B185"/>
      <c r="F185">
        <f>15/0.454/(F184*0.001)/3</f>
        <v>-1189.7177712155683</v>
      </c>
      <c r="G185">
        <f>30/0.454/(G184*0.001)/3</f>
        <v>-1188.1499519919053</v>
      </c>
      <c r="I185">
        <f>(I184/0.454)/0.0254</f>
        <v>107617.32977210447</v>
      </c>
      <c r="J185" t="s">
        <v>134</v>
      </c>
    </row>
    <row r="186" spans="1:11" ht="15.75" thickBot="1"/>
    <row r="187" spans="1:11" ht="15.75" thickBot="1">
      <c r="B187" s="128" t="s">
        <v>46</v>
      </c>
      <c r="C187" s="66" t="s">
        <v>85</v>
      </c>
      <c r="D187" s="25" t="s">
        <v>82</v>
      </c>
      <c r="E187" s="25" t="s">
        <v>83</v>
      </c>
      <c r="G187">
        <f>100*(G185+I184)/I184</f>
        <v>4.2586662375579971</v>
      </c>
      <c r="H187" s="65" t="s">
        <v>152</v>
      </c>
    </row>
    <row r="188" spans="1:11">
      <c r="A188" s="383" t="s">
        <v>34</v>
      </c>
      <c r="B188" s="129" t="s">
        <v>23</v>
      </c>
      <c r="C188" s="130">
        <f>ABS(G163)</f>
        <v>0</v>
      </c>
      <c r="D188" s="131">
        <f>ABS(C188*30.2*0.000000001)</f>
        <v>0</v>
      </c>
      <c r="E188" s="131" t="e">
        <f>#REF!/D188</f>
        <v>#REF!</v>
      </c>
    </row>
    <row r="189" spans="1:11">
      <c r="A189" s="383"/>
      <c r="B189" s="129" t="s">
        <v>24</v>
      </c>
      <c r="C189" s="132">
        <f>ABS(G164)</f>
        <v>0</v>
      </c>
      <c r="D189" s="133">
        <f>ABS(C189*30.2*0.000000001)</f>
        <v>0</v>
      </c>
      <c r="E189" s="133" t="e">
        <f>#REF!/D189</f>
        <v>#REF!</v>
      </c>
    </row>
    <row r="190" spans="1:11" ht="15.75" thickBot="1">
      <c r="A190" s="383"/>
      <c r="B190" s="134" t="s">
        <v>25</v>
      </c>
      <c r="C190" s="135">
        <f>ABS(G165)</f>
        <v>0</v>
      </c>
      <c r="D190" s="133">
        <f>ABS(C190*30.2*0.000000001)</f>
        <v>0</v>
      </c>
      <c r="E190" s="136" t="e">
        <f>#REF!/D190</f>
        <v>#REF!</v>
      </c>
    </row>
    <row r="191" spans="1:11" ht="15.75" thickBot="1">
      <c r="B191"/>
      <c r="C191" s="45"/>
      <c r="D191" s="19" t="s">
        <v>84</v>
      </c>
      <c r="E191" s="137" t="e">
        <f>SUM(E188:E190)</f>
        <v>#REF!</v>
      </c>
    </row>
    <row r="192" spans="1:11" ht="15.75" thickBot="1"/>
    <row r="193" spans="1:12" ht="15.75" thickBot="1">
      <c r="B193" s="128" t="s">
        <v>46</v>
      </c>
      <c r="C193" s="66" t="s">
        <v>85</v>
      </c>
      <c r="D193" s="25" t="s">
        <v>82</v>
      </c>
      <c r="E193" s="25" t="s">
        <v>83</v>
      </c>
    </row>
    <row r="194" spans="1:12">
      <c r="A194" s="383" t="s">
        <v>35</v>
      </c>
      <c r="B194" s="129" t="s">
        <v>23</v>
      </c>
      <c r="C194" s="130">
        <f>ABS(G186)</f>
        <v>0</v>
      </c>
      <c r="D194" s="131">
        <f>ABS(C194*30.2*0.000000001)</f>
        <v>0</v>
      </c>
      <c r="E194" s="131" t="e">
        <f>#REF!/D194</f>
        <v>#REF!</v>
      </c>
    </row>
    <row r="195" spans="1:12">
      <c r="A195" s="383"/>
      <c r="B195" s="129" t="s">
        <v>24</v>
      </c>
      <c r="C195" s="132">
        <f>ABS(G187)</f>
        <v>4.2586662375579971</v>
      </c>
      <c r="D195" s="133">
        <f>ABS(C195*30.2*0.000000001)</f>
        <v>1.2861172037425153E-7</v>
      </c>
      <c r="E195" s="133" t="e">
        <f>#REF!/D195</f>
        <v>#REF!</v>
      </c>
    </row>
    <row r="196" spans="1:12" ht="15.75" thickBot="1">
      <c r="A196" s="383"/>
      <c r="B196" s="134" t="s">
        <v>25</v>
      </c>
      <c r="C196" s="135">
        <f>ABS(G188)</f>
        <v>0</v>
      </c>
      <c r="D196" s="133">
        <f>ABS(C196*30.2*0.000000001)</f>
        <v>0</v>
      </c>
      <c r="E196" s="136" t="e">
        <f>#REF!/D196</f>
        <v>#REF!</v>
      </c>
    </row>
    <row r="197" spans="1:12" ht="15.75" thickBot="1">
      <c r="B197"/>
      <c r="C197" s="45"/>
      <c r="D197" s="19" t="s">
        <v>84</v>
      </c>
      <c r="E197" s="137" t="e">
        <f>SUM(E194:E196)</f>
        <v>#REF!</v>
      </c>
    </row>
    <row r="198" spans="1:12">
      <c r="B198"/>
      <c r="C198" s="45"/>
      <c r="D198" s="45"/>
      <c r="E198" s="289"/>
    </row>
    <row r="199" spans="1:12" ht="15.75" thickBot="1">
      <c r="A199" s="101" t="s">
        <v>197</v>
      </c>
    </row>
    <row r="200" spans="1:12" ht="15.75" thickBot="1">
      <c r="C200" s="368" t="s">
        <v>194</v>
      </c>
      <c r="D200" s="369"/>
      <c r="E200" s="369"/>
      <c r="F200" s="370"/>
      <c r="G200" s="368" t="s">
        <v>195</v>
      </c>
      <c r="H200" s="369"/>
      <c r="I200" s="369"/>
      <c r="J200" s="370"/>
    </row>
    <row r="201" spans="1:12" ht="15.75" thickBot="1">
      <c r="B201" s="279" t="s">
        <v>35</v>
      </c>
      <c r="C201" s="244" t="s">
        <v>145</v>
      </c>
      <c r="D201" s="245" t="s">
        <v>146</v>
      </c>
      <c r="E201" s="246" t="s">
        <v>147</v>
      </c>
      <c r="F201" s="280" t="s">
        <v>68</v>
      </c>
      <c r="G201" s="244" t="s">
        <v>145</v>
      </c>
      <c r="H201" s="245" t="s">
        <v>146</v>
      </c>
      <c r="I201" s="246" t="s">
        <v>147</v>
      </c>
      <c r="J201" s="279" t="s">
        <v>68</v>
      </c>
      <c r="K201" s="281" t="s">
        <v>62</v>
      </c>
    </row>
    <row r="202" spans="1:12">
      <c r="B202" s="275" t="s">
        <v>23</v>
      </c>
      <c r="C202" s="304">
        <v>-1143</v>
      </c>
      <c r="D202" s="249">
        <v>-1187</v>
      </c>
      <c r="E202" s="250">
        <v>-1170</v>
      </c>
      <c r="F202" s="261">
        <f>AVERAGE(C202:E202)</f>
        <v>-1166.6666666666667</v>
      </c>
      <c r="G202" s="257">
        <v>-27898</v>
      </c>
      <c r="H202" s="249">
        <v>-27921</v>
      </c>
      <c r="I202" s="250">
        <v>-27919</v>
      </c>
      <c r="J202" s="212">
        <f>AVERAGE(G202:I202)</f>
        <v>-27912.666666666668</v>
      </c>
      <c r="K202" s="224">
        <f>J202-F202</f>
        <v>-26746</v>
      </c>
    </row>
    <row r="203" spans="1:12">
      <c r="B203" s="276" t="s">
        <v>24</v>
      </c>
      <c r="C203" s="305">
        <v>-110</v>
      </c>
      <c r="D203" s="234">
        <v>-75</v>
      </c>
      <c r="E203" s="235">
        <v>-120</v>
      </c>
      <c r="F203" s="263">
        <f t="shared" ref="F203:F204" si="11">AVERAGE(C203:E203)</f>
        <v>-101.66666666666667</v>
      </c>
      <c r="G203" s="236">
        <v>-27386</v>
      </c>
      <c r="H203" s="234">
        <v>-27328</v>
      </c>
      <c r="I203" s="235">
        <v>-27320</v>
      </c>
      <c r="J203" s="215">
        <f t="shared" ref="J203:J204" si="12">AVERAGE(G203:I203)</f>
        <v>-27344.666666666668</v>
      </c>
      <c r="K203" s="132">
        <f>J203-F203</f>
        <v>-27243</v>
      </c>
    </row>
    <row r="204" spans="1:12" ht="15.75" thickBot="1">
      <c r="B204" s="277" t="s">
        <v>25</v>
      </c>
      <c r="C204" s="306">
        <v>377</v>
      </c>
      <c r="D204" s="238">
        <v>-120</v>
      </c>
      <c r="E204" s="251">
        <v>324</v>
      </c>
      <c r="F204" s="265">
        <f t="shared" si="11"/>
        <v>193.66666666666666</v>
      </c>
      <c r="G204" s="237">
        <v>-26517</v>
      </c>
      <c r="H204" s="238">
        <v>-26468</v>
      </c>
      <c r="I204" s="251">
        <v>-26533</v>
      </c>
      <c r="J204" s="218">
        <f t="shared" si="12"/>
        <v>-26506</v>
      </c>
      <c r="K204" s="135">
        <f>J204-F204</f>
        <v>-26699.666666666668</v>
      </c>
    </row>
    <row r="205" spans="1:12">
      <c r="B205" s="11"/>
      <c r="D205" s="23"/>
      <c r="E205" s="23"/>
      <c r="F205" s="23"/>
      <c r="G205" s="23"/>
      <c r="H205" s="23"/>
      <c r="I205" s="23"/>
      <c r="J205" s="23"/>
      <c r="K205" s="23">
        <f>AVERAGE(K202:K204)</f>
        <v>-26896.222222222223</v>
      </c>
      <c r="L205" t="s">
        <v>133</v>
      </c>
    </row>
    <row r="206" spans="1:12">
      <c r="K206" s="23">
        <f>K205/I178</f>
        <v>-8.0788145958073603</v>
      </c>
      <c r="L206" t="s">
        <v>141</v>
      </c>
    </row>
    <row r="207" spans="1:12">
      <c r="A207" t="s">
        <v>148</v>
      </c>
      <c r="B207" s="10">
        <v>15006</v>
      </c>
      <c r="C207" s="23" t="s">
        <v>149</v>
      </c>
    </row>
    <row r="208" spans="1:12">
      <c r="B208" s="310">
        <f>0.001*B207/0.45359237</f>
        <v>33.082567063462726</v>
      </c>
      <c r="C208" s="23" t="s">
        <v>150</v>
      </c>
    </row>
    <row r="209" spans="1:12">
      <c r="C209" s="23"/>
    </row>
    <row r="210" spans="1:12">
      <c r="A210" t="s">
        <v>151</v>
      </c>
      <c r="B210" s="310">
        <f>ABS(1000*B208/(3*K206))</f>
        <v>1364.9926265433169</v>
      </c>
      <c r="C210" s="23" t="s">
        <v>138</v>
      </c>
    </row>
    <row r="211" spans="1:12">
      <c r="A211" t="s">
        <v>257</v>
      </c>
      <c r="B211" s="310">
        <f>100*(B210-I176)/I176</f>
        <v>-6.8264418741763224</v>
      </c>
      <c r="C211" s="23" t="s">
        <v>152</v>
      </c>
    </row>
    <row r="212" spans="1:12">
      <c r="A212"/>
      <c r="B212" s="310"/>
      <c r="C212" s="23"/>
    </row>
    <row r="213" spans="1:12" ht="15.75" thickBot="1">
      <c r="A213"/>
      <c r="C213" s="23"/>
    </row>
    <row r="214" spans="1:12" ht="15.75" thickBot="1">
      <c r="B214" s="11"/>
      <c r="C214" s="368" t="s">
        <v>194</v>
      </c>
      <c r="D214" s="398"/>
      <c r="E214" s="398"/>
      <c r="F214" s="370"/>
      <c r="G214" s="399" t="s">
        <v>195</v>
      </c>
      <c r="H214" s="369"/>
      <c r="I214" s="398"/>
      <c r="J214" s="370"/>
      <c r="K214" s="23"/>
    </row>
    <row r="215" spans="1:12" ht="15.75" thickBot="1">
      <c r="A215"/>
      <c r="B215" s="103" t="s">
        <v>196</v>
      </c>
      <c r="C215" s="303" t="s">
        <v>145</v>
      </c>
      <c r="D215" s="103" t="s">
        <v>146</v>
      </c>
      <c r="E215" s="103" t="s">
        <v>147</v>
      </c>
      <c r="F215" s="303" t="s">
        <v>68</v>
      </c>
      <c r="G215" s="103" t="s">
        <v>145</v>
      </c>
      <c r="H215" s="303" t="s">
        <v>146</v>
      </c>
      <c r="I215" s="103" t="s">
        <v>147</v>
      </c>
      <c r="J215" s="303" t="s">
        <v>68</v>
      </c>
      <c r="K215" s="103" t="s">
        <v>62</v>
      </c>
    </row>
    <row r="216" spans="1:12">
      <c r="B216" s="94" t="s">
        <v>23</v>
      </c>
      <c r="C216" s="307">
        <v>300</v>
      </c>
      <c r="D216" s="212">
        <v>315</v>
      </c>
      <c r="E216" s="212">
        <v>308</v>
      </c>
      <c r="F216" s="261">
        <f>AVERAGE(C216:E216)</f>
        <v>307.66666666666669</v>
      </c>
      <c r="G216" s="212">
        <v>-10579</v>
      </c>
      <c r="H216" s="261">
        <v>-10571</v>
      </c>
      <c r="I216" s="212">
        <v>-10638</v>
      </c>
      <c r="J216" s="224">
        <f>AVERAGE(G216:I216)</f>
        <v>-10596</v>
      </c>
      <c r="K216" s="27">
        <f>J216-F216</f>
        <v>-10903.666666666666</v>
      </c>
    </row>
    <row r="217" spans="1:12">
      <c r="B217" s="105" t="s">
        <v>24</v>
      </c>
      <c r="C217" s="308">
        <v>731</v>
      </c>
      <c r="D217" s="215">
        <v>705</v>
      </c>
      <c r="E217" s="215">
        <v>721</v>
      </c>
      <c r="F217" s="263">
        <f t="shared" ref="F217:F218" si="13">AVERAGE(C217:E217)</f>
        <v>719</v>
      </c>
      <c r="G217" s="215">
        <v>-10079</v>
      </c>
      <c r="H217" s="263">
        <v>-10126</v>
      </c>
      <c r="I217" s="215">
        <v>-10094</v>
      </c>
      <c r="J217" s="132">
        <f t="shared" ref="J217:J218" si="14">AVERAGE(G217:I217)</f>
        <v>-10099.666666666666</v>
      </c>
      <c r="K217" s="21">
        <f>J217-F217</f>
        <v>-10818.666666666666</v>
      </c>
    </row>
    <row r="218" spans="1:12" ht="15.75" thickBot="1">
      <c r="B218" s="95" t="s">
        <v>25</v>
      </c>
      <c r="C218" s="309">
        <v>374</v>
      </c>
      <c r="D218" s="218">
        <v>376</v>
      </c>
      <c r="E218" s="218">
        <v>343</v>
      </c>
      <c r="F218" s="265">
        <f t="shared" si="13"/>
        <v>364.33333333333331</v>
      </c>
      <c r="G218" s="218">
        <v>-10576</v>
      </c>
      <c r="H218" s="265">
        <v>-10528</v>
      </c>
      <c r="I218" s="218">
        <v>-10505</v>
      </c>
      <c r="J218" s="135">
        <f t="shared" si="14"/>
        <v>-10536.333333333334</v>
      </c>
      <c r="K218" s="22">
        <f>J218-F218</f>
        <v>-10900.666666666668</v>
      </c>
    </row>
    <row r="219" spans="1:12">
      <c r="B219" s="11"/>
      <c r="D219" s="23"/>
      <c r="E219" s="23"/>
      <c r="F219" s="23"/>
      <c r="G219" s="23"/>
      <c r="H219" s="23"/>
      <c r="I219" s="23"/>
      <c r="J219" s="23"/>
      <c r="K219" s="23">
        <f>AVERAGE(K216:K218)</f>
        <v>-10874.333333333334</v>
      </c>
      <c r="L219" t="s">
        <v>133</v>
      </c>
    </row>
    <row r="220" spans="1:12">
      <c r="K220" s="23">
        <f>K219/I183</f>
        <v>-13.065288073121721</v>
      </c>
      <c r="L220" t="s">
        <v>141</v>
      </c>
    </row>
    <row r="222" spans="1:12">
      <c r="A222" t="s">
        <v>148</v>
      </c>
      <c r="B222" s="10">
        <v>21133</v>
      </c>
      <c r="C222" s="23" t="s">
        <v>149</v>
      </c>
    </row>
    <row r="223" spans="1:12">
      <c r="B223" s="310">
        <f>0.001*B222/0.45359237</f>
        <v>46.590289867530174</v>
      </c>
      <c r="C223" s="23" t="s">
        <v>150</v>
      </c>
    </row>
    <row r="225" spans="1:6">
      <c r="A225" t="s">
        <v>151</v>
      </c>
      <c r="B225" s="310">
        <f>ABS(1000*B223/(3*K220))</f>
        <v>1188.6532111342428</v>
      </c>
      <c r="C225" s="23" t="s">
        <v>138</v>
      </c>
    </row>
    <row r="226" spans="1:6">
      <c r="A226" t="s">
        <v>257</v>
      </c>
      <c r="B226" s="310">
        <f>100*(B225-I184)/I184</f>
        <v>-4.2181135266524707</v>
      </c>
      <c r="C226" s="23" t="s">
        <v>152</v>
      </c>
    </row>
    <row r="227" spans="1:6">
      <c r="B227" s="310"/>
      <c r="C227" s="23"/>
    </row>
    <row r="228" spans="1:6">
      <c r="A228" t="s">
        <v>255</v>
      </c>
      <c r="B228" s="311">
        <f>3*1000*9.6*10/(3*1188*6.4)</f>
        <v>12.626262626262625</v>
      </c>
      <c r="C228" s="23" t="s">
        <v>141</v>
      </c>
      <c r="D228" t="s">
        <v>256</v>
      </c>
    </row>
    <row r="229" spans="1:6">
      <c r="A229" t="s">
        <v>254</v>
      </c>
      <c r="B229" s="311">
        <f>3*1000*5*10/(3*1364*10.2)</f>
        <v>3.5938128917256056</v>
      </c>
      <c r="C229" s="23" t="s">
        <v>141</v>
      </c>
    </row>
    <row r="231" spans="1:6" ht="15.75" thickBot="1"/>
    <row r="232" spans="1:6" ht="51.75" thickBot="1">
      <c r="B232" s="111"/>
      <c r="C232" s="138" t="s">
        <v>86</v>
      </c>
      <c r="D232" s="138" t="s">
        <v>87</v>
      </c>
      <c r="E232" s="109" t="s">
        <v>88</v>
      </c>
      <c r="F232" s="110" t="s">
        <v>89</v>
      </c>
    </row>
    <row r="233" spans="1:6">
      <c r="A233" s="383" t="s">
        <v>34</v>
      </c>
      <c r="B233" s="48" t="s">
        <v>49</v>
      </c>
      <c r="C233" s="225">
        <v>0.63654490246573103</v>
      </c>
      <c r="D233" s="219">
        <v>513.16657531104897</v>
      </c>
      <c r="E233" s="386">
        <f>AVERAGE(C233:C235)</f>
        <v>0.62277364359326437</v>
      </c>
      <c r="F233" s="139">
        <f>100*(C233-$E$233)/$E$233</f>
        <v>2.2112783696191101</v>
      </c>
    </row>
    <row r="234" spans="1:6">
      <c r="A234" s="383"/>
      <c r="B234" s="28" t="s">
        <v>50</v>
      </c>
      <c r="C234" s="226">
        <v>0.61808173481143103</v>
      </c>
      <c r="D234" s="220">
        <v>342.81086672975499</v>
      </c>
      <c r="E234" s="387"/>
      <c r="F234" s="140">
        <f t="shared" ref="F234:F235" si="15">100*(C234-$E$233)/$E$233</f>
        <v>-0.75338910535167813</v>
      </c>
    </row>
    <row r="235" spans="1:6" ht="15.75" thickBot="1">
      <c r="A235" s="383"/>
      <c r="B235" s="29" t="s">
        <v>51</v>
      </c>
      <c r="C235" s="227">
        <v>0.61369429350263105</v>
      </c>
      <c r="D235" s="221">
        <v>1774.47050686847</v>
      </c>
      <c r="E235" s="388"/>
      <c r="F235" s="141">
        <f t="shared" si="15"/>
        <v>-1.4578892642674319</v>
      </c>
    </row>
    <row r="236" spans="1:6">
      <c r="A236" s="383"/>
      <c r="B236" s="26" t="s">
        <v>52</v>
      </c>
      <c r="C236" s="228">
        <v>0.511540042582599</v>
      </c>
      <c r="D236" s="229">
        <v>575.646241946911</v>
      </c>
      <c r="E236" s="386">
        <f>AVERAGE(C236:C238)</f>
        <v>0.50102010840624733</v>
      </c>
      <c r="F236" s="139">
        <f>100*(C236-$E$236)/$E$236</f>
        <v>2.0997029859371787</v>
      </c>
    </row>
    <row r="237" spans="1:6">
      <c r="A237" s="383"/>
      <c r="B237" s="28" t="s">
        <v>53</v>
      </c>
      <c r="C237" s="226">
        <v>0.49921499675012099</v>
      </c>
      <c r="D237" s="220">
        <v>922.08783921091504</v>
      </c>
      <c r="E237" s="387"/>
      <c r="F237" s="140">
        <f t="shared" ref="F237:F238" si="16">100*(C237-$E$236)/$E$236</f>
        <v>-0.3602872670856333</v>
      </c>
    </row>
    <row r="238" spans="1:6" ht="15.75" thickBot="1">
      <c r="A238" s="383"/>
      <c r="B238" s="29" t="s">
        <v>54</v>
      </c>
      <c r="C238" s="227">
        <v>0.49230528588602201</v>
      </c>
      <c r="D238" s="221">
        <v>593.65598607112804</v>
      </c>
      <c r="E238" s="388"/>
      <c r="F238" s="141">
        <f t="shared" si="16"/>
        <v>-1.7394157188515453</v>
      </c>
    </row>
    <row r="239" spans="1:6">
      <c r="A239" s="383" t="s">
        <v>35</v>
      </c>
      <c r="B239" s="48" t="s">
        <v>55</v>
      </c>
      <c r="C239" s="225">
        <v>0.346412499635261</v>
      </c>
      <c r="D239" s="219">
        <v>2557.1449339293499</v>
      </c>
      <c r="E239" s="386">
        <f>AVERAGE(C239:C241)</f>
        <v>0.34232076537018269</v>
      </c>
      <c r="F239" s="139">
        <f>100*(C239-$E$239)/$E$239</f>
        <v>1.195292450533505</v>
      </c>
    </row>
    <row r="240" spans="1:6">
      <c r="A240" s="383"/>
      <c r="B240" s="28" t="s">
        <v>56</v>
      </c>
      <c r="C240" s="226">
        <v>0.34250583578069199</v>
      </c>
      <c r="D240" s="220">
        <v>2136.2311933600899</v>
      </c>
      <c r="E240" s="387"/>
      <c r="F240" s="140">
        <f t="shared" ref="F240:F241" si="17">100*(C240-$E$239)/$E$239</f>
        <v>5.406344844700528E-2</v>
      </c>
    </row>
    <row r="241" spans="1:6" ht="15.75" thickBot="1">
      <c r="A241" s="383"/>
      <c r="B241" s="29" t="s">
        <v>57</v>
      </c>
      <c r="C241" s="227">
        <v>0.33804396069459502</v>
      </c>
      <c r="D241" s="221">
        <v>3775.70179665967</v>
      </c>
      <c r="E241" s="388"/>
      <c r="F241" s="141">
        <f t="shared" si="17"/>
        <v>-1.2493558989805265</v>
      </c>
    </row>
    <row r="242" spans="1:6">
      <c r="A242" s="383"/>
      <c r="B242" s="26" t="s">
        <v>58</v>
      </c>
      <c r="C242" s="228">
        <v>0.42814542704021002</v>
      </c>
      <c r="D242" s="229">
        <v>-845.80776431382003</v>
      </c>
      <c r="E242" s="386">
        <f>AVERAGE(C242:C244)</f>
        <v>0.42167534353317732</v>
      </c>
      <c r="F242" s="139">
        <f>100*(C242-$E$242)/$E$242</f>
        <v>1.5343755821292511</v>
      </c>
    </row>
    <row r="243" spans="1:6">
      <c r="A243" s="383"/>
      <c r="B243" s="28" t="s">
        <v>59</v>
      </c>
      <c r="C243" s="226">
        <v>0.41641203135305299</v>
      </c>
      <c r="D243" s="220">
        <v>309.79716295783197</v>
      </c>
      <c r="E243" s="387"/>
      <c r="F243" s="140">
        <f t="shared" ref="F243:F244" si="18">100*(C243-$E$242)/$E$242</f>
        <v>-1.2481906425980556</v>
      </c>
    </row>
    <row r="244" spans="1:6" ht="15.75" thickBot="1">
      <c r="A244" s="383"/>
      <c r="B244" s="29" t="s">
        <v>60</v>
      </c>
      <c r="C244" s="227">
        <v>0.42046857220626899</v>
      </c>
      <c r="D244" s="221">
        <v>693.218983973636</v>
      </c>
      <c r="E244" s="388"/>
      <c r="F244" s="141">
        <f t="shared" si="18"/>
        <v>-0.2861849395311824</v>
      </c>
    </row>
    <row r="247" spans="1:6" ht="15.75" thickBot="1"/>
    <row r="248" spans="1:6" ht="15.75" thickBot="1">
      <c r="B248" s="368" t="s">
        <v>107</v>
      </c>
      <c r="C248" s="369"/>
      <c r="D248" s="369"/>
      <c r="E248" s="370"/>
    </row>
    <row r="249" spans="1:6" ht="15.75" thickBot="1">
      <c r="A249" s="157" t="s">
        <v>46</v>
      </c>
      <c r="B249" s="158" t="s">
        <v>91</v>
      </c>
      <c r="C249" s="159" t="s">
        <v>92</v>
      </c>
      <c r="D249" s="158" t="s">
        <v>93</v>
      </c>
      <c r="E249" s="160" t="s">
        <v>94</v>
      </c>
    </row>
    <row r="250" spans="1:6">
      <c r="A250" s="161" t="s">
        <v>95</v>
      </c>
      <c r="B250" s="90"/>
      <c r="C250" s="148"/>
      <c r="D250" s="20"/>
      <c r="E250" s="123"/>
    </row>
    <row r="251" spans="1:6">
      <c r="A251" s="162" t="s">
        <v>96</v>
      </c>
      <c r="B251" s="56"/>
      <c r="C251" s="149"/>
      <c r="D251" s="21"/>
      <c r="E251" s="124"/>
    </row>
    <row r="252" spans="1:6">
      <c r="A252" s="162" t="s">
        <v>97</v>
      </c>
      <c r="B252" s="56"/>
      <c r="C252" s="149"/>
      <c r="D252" s="21"/>
      <c r="E252" s="124"/>
    </row>
    <row r="253" spans="1:6">
      <c r="A253" s="162" t="s">
        <v>98</v>
      </c>
      <c r="B253" s="56"/>
      <c r="C253" s="149"/>
      <c r="D253" s="21"/>
      <c r="E253" s="124"/>
    </row>
    <row r="254" spans="1:6">
      <c r="A254" s="162" t="s">
        <v>99</v>
      </c>
      <c r="B254" s="56"/>
      <c r="C254" s="149"/>
      <c r="D254" s="21"/>
      <c r="E254" s="124"/>
    </row>
    <row r="255" spans="1:6" ht="15.75" thickBot="1">
      <c r="A255" s="163" t="s">
        <v>100</v>
      </c>
      <c r="B255" s="57"/>
      <c r="C255" s="150"/>
      <c r="D255" s="22"/>
      <c r="E255" s="125"/>
    </row>
    <row r="256" spans="1:6">
      <c r="A256" s="164" t="s">
        <v>101</v>
      </c>
      <c r="B256" s="89"/>
      <c r="C256" s="151"/>
      <c r="D256" s="27"/>
      <c r="E256" s="153"/>
    </row>
    <row r="257" spans="1:9">
      <c r="A257" s="162" t="s">
        <v>102</v>
      </c>
      <c r="B257" s="56"/>
      <c r="C257" s="149"/>
      <c r="D257" s="21"/>
      <c r="E257" s="124"/>
    </row>
    <row r="258" spans="1:9">
      <c r="A258" s="162" t="s">
        <v>103</v>
      </c>
      <c r="B258" s="56"/>
      <c r="C258" s="149"/>
      <c r="D258" s="21"/>
      <c r="E258" s="124"/>
    </row>
    <row r="259" spans="1:9">
      <c r="A259" s="162" t="s">
        <v>104</v>
      </c>
      <c r="B259" s="56"/>
      <c r="C259" s="149"/>
      <c r="D259" s="21"/>
      <c r="E259" s="124"/>
    </row>
    <row r="260" spans="1:9">
      <c r="A260" s="162" t="s">
        <v>105</v>
      </c>
      <c r="B260" s="56"/>
      <c r="C260" s="149"/>
      <c r="D260" s="21"/>
      <c r="E260" s="124"/>
    </row>
    <row r="261" spans="1:9" ht="15.75" thickBot="1">
      <c r="A261" s="165" t="s">
        <v>106</v>
      </c>
      <c r="B261" s="155"/>
      <c r="C261" s="152"/>
      <c r="D261" s="156"/>
      <c r="E261" s="154"/>
    </row>
    <row r="262" spans="1:9">
      <c r="A262" s="161" t="s">
        <v>108</v>
      </c>
      <c r="B262" s="90"/>
      <c r="C262" s="148"/>
      <c r="D262" s="20"/>
      <c r="E262" s="123"/>
    </row>
    <row r="263" spans="1:9">
      <c r="A263" s="162" t="s">
        <v>109</v>
      </c>
      <c r="B263" s="56"/>
      <c r="C263" s="149"/>
      <c r="D263" s="21"/>
      <c r="E263" s="124"/>
    </row>
    <row r="264" spans="1:9" ht="15.75" thickBot="1">
      <c r="A264" s="163" t="s">
        <v>110</v>
      </c>
      <c r="B264" s="57"/>
      <c r="C264" s="150"/>
      <c r="D264" s="22"/>
      <c r="E264" s="125"/>
    </row>
    <row r="265" spans="1:9">
      <c r="A265" s="259"/>
      <c r="B265" s="146"/>
      <c r="C265" s="146"/>
      <c r="D265" s="45"/>
      <c r="E265" s="45"/>
    </row>
    <row r="266" spans="1:9">
      <c r="A266" s="259"/>
      <c r="B266" s="146"/>
      <c r="C266" s="146"/>
      <c r="D266" s="45"/>
      <c r="E266" s="45"/>
    </row>
    <row r="267" spans="1:9">
      <c r="A267" s="259"/>
      <c r="B267" s="146"/>
      <c r="C267" s="146"/>
      <c r="D267" s="45"/>
      <c r="E267" s="45"/>
    </row>
    <row r="268" spans="1:9" ht="15.75" thickBot="1">
      <c r="A268" s="101" t="s">
        <v>167</v>
      </c>
    </row>
    <row r="269" spans="1:9" ht="15.75" thickBot="1">
      <c r="A269"/>
      <c r="D269" s="368" t="s">
        <v>46</v>
      </c>
      <c r="E269" s="369"/>
      <c r="F269" s="369"/>
      <c r="G269" s="369"/>
      <c r="H269" s="369"/>
      <c r="I269" s="370"/>
    </row>
    <row r="270" spans="1:9" ht="15.75" thickBot="1">
      <c r="A270"/>
      <c r="D270" s="172" t="s">
        <v>49</v>
      </c>
      <c r="E270" s="173" t="s">
        <v>50</v>
      </c>
      <c r="F270" s="102" t="s">
        <v>51</v>
      </c>
      <c r="G270" s="172" t="s">
        <v>52</v>
      </c>
      <c r="H270" s="173" t="s">
        <v>53</v>
      </c>
      <c r="I270" s="174" t="s">
        <v>54</v>
      </c>
    </row>
    <row r="271" spans="1:9">
      <c r="A271"/>
      <c r="B271" s="383" t="s">
        <v>69</v>
      </c>
      <c r="C271" s="94" t="s">
        <v>49</v>
      </c>
      <c r="D271" s="248">
        <v>4462.1357799999996</v>
      </c>
      <c r="E271" s="249">
        <v>1780.24062</v>
      </c>
      <c r="F271" s="252">
        <v>1793.7146</v>
      </c>
      <c r="G271" s="257">
        <v>28.7314800000003</v>
      </c>
      <c r="H271" s="249">
        <v>-10.8602800000003</v>
      </c>
      <c r="I271" s="250">
        <v>-6.08716000000015</v>
      </c>
    </row>
    <row r="272" spans="1:9">
      <c r="B272" s="383"/>
      <c r="C272" s="105" t="s">
        <v>50</v>
      </c>
      <c r="D272" s="236">
        <v>1754.78638</v>
      </c>
      <c r="E272" s="233">
        <v>4327.1178200000004</v>
      </c>
      <c r="F272" s="253">
        <v>1752.1497999999999</v>
      </c>
      <c r="G272" s="236">
        <v>-8.3136799999999198</v>
      </c>
      <c r="H272" s="234">
        <v>17.812019999999698</v>
      </c>
      <c r="I272" s="235">
        <v>6.5655199999998803</v>
      </c>
    </row>
    <row r="273" spans="1:18" ht="15.75" thickBot="1">
      <c r="B273" s="383"/>
      <c r="C273" s="95" t="s">
        <v>51</v>
      </c>
      <c r="D273" s="237">
        <v>1734.02998</v>
      </c>
      <c r="E273" s="238">
        <v>1726.6658199999999</v>
      </c>
      <c r="F273" s="254">
        <v>4305.1379999999999</v>
      </c>
      <c r="G273" s="237">
        <v>1.70496000000003</v>
      </c>
      <c r="H273" s="238">
        <v>-11.6974200000005</v>
      </c>
      <c r="I273" s="251">
        <v>28.756039999999999</v>
      </c>
    </row>
    <row r="274" spans="1:18">
      <c r="B274" s="383"/>
      <c r="C274" s="96" t="s">
        <v>52</v>
      </c>
      <c r="D274" s="247">
        <v>78.552000000000007</v>
      </c>
      <c r="E274" s="242">
        <v>-162.94365999999999</v>
      </c>
      <c r="F274" s="255">
        <v>109.1456</v>
      </c>
      <c r="G274" s="241">
        <v>3587.2752799999998</v>
      </c>
      <c r="H274" s="242">
        <v>-665.20068000000094</v>
      </c>
      <c r="I274" s="243">
        <v>-637.21524999999997</v>
      </c>
    </row>
    <row r="275" spans="1:18">
      <c r="B275" s="383"/>
      <c r="C275" s="105" t="s">
        <v>53</v>
      </c>
      <c r="D275" s="236">
        <v>93.823599999999999</v>
      </c>
      <c r="E275" s="234">
        <v>33.6874800000001</v>
      </c>
      <c r="F275" s="253">
        <v>-176.03380000000101</v>
      </c>
      <c r="G275" s="236">
        <v>-625.46695599999998</v>
      </c>
      <c r="H275" s="233">
        <v>3502.9303599999998</v>
      </c>
      <c r="I275" s="235">
        <v>-647.68142</v>
      </c>
    </row>
    <row r="276" spans="1:18" ht="15.75" thickBot="1">
      <c r="B276" s="383"/>
      <c r="C276" s="95" t="s">
        <v>54</v>
      </c>
      <c r="D276" s="237">
        <v>-169.04944</v>
      </c>
      <c r="E276" s="238">
        <v>92.719680000000096</v>
      </c>
      <c r="F276" s="256">
        <v>31.098999999998799</v>
      </c>
      <c r="G276" s="237">
        <v>-638.72856000000002</v>
      </c>
      <c r="H276" s="238">
        <v>-600.86836000000005</v>
      </c>
      <c r="I276" s="239">
        <v>3459.81826</v>
      </c>
    </row>
    <row r="277" spans="1:18">
      <c r="B277" s="146"/>
      <c r="C277" s="259"/>
      <c r="D277" s="230"/>
      <c r="E277" s="230"/>
      <c r="F277" s="230"/>
      <c r="G277" s="230"/>
      <c r="H277" s="230"/>
      <c r="I277" s="230"/>
    </row>
    <row r="278" spans="1:18" ht="15.75" thickBot="1">
      <c r="D278" s="230"/>
      <c r="E278" s="230"/>
      <c r="F278" s="230"/>
      <c r="G278" s="230"/>
      <c r="H278" s="230"/>
      <c r="I278" s="230"/>
    </row>
    <row r="279" spans="1:18" ht="15.75" thickBot="1">
      <c r="D279" s="368" t="s">
        <v>46</v>
      </c>
      <c r="E279" s="369"/>
      <c r="F279" s="369"/>
      <c r="G279" s="369"/>
      <c r="H279" s="369"/>
      <c r="I279" s="370"/>
    </row>
    <row r="280" spans="1:18" ht="15.75" thickBot="1">
      <c r="D280" s="244" t="s">
        <v>55</v>
      </c>
      <c r="E280" s="245" t="s">
        <v>56</v>
      </c>
      <c r="F280" s="258" t="s">
        <v>57</v>
      </c>
      <c r="G280" s="244" t="s">
        <v>58</v>
      </c>
      <c r="H280" s="245" t="s">
        <v>59</v>
      </c>
      <c r="I280" s="246" t="s">
        <v>60</v>
      </c>
    </row>
    <row r="281" spans="1:18">
      <c r="B281" s="383" t="s">
        <v>69</v>
      </c>
      <c r="C281" s="94" t="s">
        <v>55</v>
      </c>
      <c r="D281" s="248">
        <v>2424.8098</v>
      </c>
      <c r="E281" s="249">
        <v>371.58</v>
      </c>
      <c r="F281" s="252">
        <v>370.65360000000101</v>
      </c>
      <c r="G281" s="257">
        <v>17.720780000000399</v>
      </c>
      <c r="H281" s="249">
        <v>8.4894980000000508</v>
      </c>
      <c r="I281" s="250">
        <v>35.999779999999397</v>
      </c>
    </row>
    <row r="282" spans="1:18">
      <c r="B282" s="383"/>
      <c r="C282" s="105" t="s">
        <v>56</v>
      </c>
      <c r="D282" s="236">
        <v>362.76580000000098</v>
      </c>
      <c r="E282" s="233">
        <v>2400.6469999999999</v>
      </c>
      <c r="F282" s="253">
        <v>372.912000000001</v>
      </c>
      <c r="G282" s="236">
        <v>27.268360000000001</v>
      </c>
      <c r="H282" s="234">
        <v>10.392886000000001</v>
      </c>
      <c r="I282" s="235">
        <v>-18.627120000000101</v>
      </c>
    </row>
    <row r="283" spans="1:18" ht="15.75" thickBot="1">
      <c r="B283" s="383"/>
      <c r="C283" s="95" t="s">
        <v>57</v>
      </c>
      <c r="D283" s="237">
        <v>363.53</v>
      </c>
      <c r="E283" s="238">
        <v>358.00980000000101</v>
      </c>
      <c r="F283" s="254">
        <v>2377.0524</v>
      </c>
      <c r="G283" s="237">
        <v>-3.57472000000018</v>
      </c>
      <c r="H283" s="238">
        <v>18.161321999999998</v>
      </c>
      <c r="I283" s="251">
        <v>18.478159999999399</v>
      </c>
    </row>
    <row r="284" spans="1:18">
      <c r="B284" s="383"/>
      <c r="C284" s="96" t="s">
        <v>58</v>
      </c>
      <c r="D284" s="247">
        <v>79.118800000000704</v>
      </c>
      <c r="E284" s="242">
        <v>136.19940000000099</v>
      </c>
      <c r="F284" s="255">
        <v>-202.929</v>
      </c>
      <c r="G284" s="241">
        <v>3012.5066000000002</v>
      </c>
      <c r="H284" s="242">
        <v>349.14578599999999</v>
      </c>
      <c r="I284" s="243">
        <v>-27.822900000000299</v>
      </c>
    </row>
    <row r="285" spans="1:18">
      <c r="B285" s="383"/>
      <c r="C285" s="105" t="s">
        <v>59</v>
      </c>
      <c r="D285" s="236">
        <v>-206.369399999998</v>
      </c>
      <c r="E285" s="234">
        <v>75.741600000000304</v>
      </c>
      <c r="F285" s="253">
        <v>126.551199999999</v>
      </c>
      <c r="G285" s="236">
        <v>-33.4423999999999</v>
      </c>
      <c r="H285" s="233">
        <v>2937.1793459999999</v>
      </c>
      <c r="I285" s="235">
        <v>332.84055999999998</v>
      </c>
    </row>
    <row r="286" spans="1:18" ht="15.75" thickBot="1">
      <c r="B286" s="383"/>
      <c r="C286" s="95" t="s">
        <v>60</v>
      </c>
      <c r="D286" s="237">
        <v>135.33360000000101</v>
      </c>
      <c r="E286" s="238">
        <v>-214.71859999999899</v>
      </c>
      <c r="F286" s="256">
        <v>97.045800000002203</v>
      </c>
      <c r="G286" s="237">
        <v>330.66332</v>
      </c>
      <c r="H286" s="238">
        <v>-1.96170399999991</v>
      </c>
      <c r="I286" s="239">
        <v>2959.5979400000001</v>
      </c>
    </row>
    <row r="287" spans="1:18" ht="15.75" thickBot="1">
      <c r="K287" t="s">
        <v>368</v>
      </c>
    </row>
    <row r="288" spans="1:18" ht="15.75" thickBot="1">
      <c r="A288" s="101" t="s">
        <v>168</v>
      </c>
      <c r="D288" s="368" t="s">
        <v>46</v>
      </c>
      <c r="E288" s="369"/>
      <c r="F288" s="369"/>
      <c r="G288" s="369"/>
      <c r="H288" s="369"/>
      <c r="I288" s="370"/>
      <c r="K288" s="10"/>
      <c r="L288" s="11"/>
      <c r="M288" s="368" t="s">
        <v>46</v>
      </c>
      <c r="N288" s="369"/>
      <c r="O288" s="369"/>
      <c r="P288" s="369"/>
      <c r="Q288" s="369"/>
      <c r="R288" s="370"/>
    </row>
    <row r="289" spans="2:18" ht="15.75" thickBot="1">
      <c r="C289" s="260"/>
      <c r="D289" s="279" t="s">
        <v>169</v>
      </c>
      <c r="E289" s="280" t="s">
        <v>170</v>
      </c>
      <c r="F289" s="279" t="s">
        <v>171</v>
      </c>
      <c r="G289" s="280" t="s">
        <v>173</v>
      </c>
      <c r="H289" s="279" t="s">
        <v>173</v>
      </c>
      <c r="I289" s="281" t="s">
        <v>174</v>
      </c>
      <c r="K289" s="10"/>
      <c r="L289" s="260"/>
      <c r="M289" s="279" t="s">
        <v>169</v>
      </c>
      <c r="N289" s="280" t="s">
        <v>170</v>
      </c>
      <c r="O289" s="279" t="s">
        <v>171</v>
      </c>
      <c r="P289" s="280" t="s">
        <v>173</v>
      </c>
      <c r="Q289" s="279" t="s">
        <v>173</v>
      </c>
      <c r="R289" s="281" t="s">
        <v>174</v>
      </c>
    </row>
    <row r="290" spans="2:18">
      <c r="B290" s="383" t="s">
        <v>69</v>
      </c>
      <c r="C290" s="275" t="s">
        <v>169</v>
      </c>
      <c r="D290" s="267">
        <v>1743.87274</v>
      </c>
      <c r="E290" s="261">
        <v>-3.8728600000008599</v>
      </c>
      <c r="F290" s="212">
        <v>5.7959800000003296</v>
      </c>
      <c r="G290" s="261">
        <v>-11.31246</v>
      </c>
      <c r="H290" s="212">
        <v>-9.5017539999999094</v>
      </c>
      <c r="I290" s="224">
        <v>58.512919999999603</v>
      </c>
      <c r="K290" s="383" t="s">
        <v>69</v>
      </c>
      <c r="L290" s="275" t="s">
        <v>169</v>
      </c>
      <c r="M290" s="267">
        <v>1750</v>
      </c>
      <c r="N290" s="261">
        <v>0</v>
      </c>
      <c r="O290" s="212">
        <v>0</v>
      </c>
      <c r="P290" s="261">
        <v>0</v>
      </c>
      <c r="Q290" s="212">
        <v>0</v>
      </c>
      <c r="R290" s="224">
        <v>0</v>
      </c>
    </row>
    <row r="291" spans="2:18">
      <c r="B291" s="383"/>
      <c r="C291" s="276" t="s">
        <v>170</v>
      </c>
      <c r="D291" s="215">
        <v>2.5159100000001899</v>
      </c>
      <c r="E291" s="262">
        <v>1719.86968</v>
      </c>
      <c r="F291" s="215">
        <v>10.806320000000101</v>
      </c>
      <c r="G291" s="263">
        <v>10.17384</v>
      </c>
      <c r="H291" s="215">
        <v>-15.009385999999999</v>
      </c>
      <c r="I291" s="132">
        <v>16.074299999999401</v>
      </c>
      <c r="K291" s="383"/>
      <c r="L291" s="276" t="s">
        <v>170</v>
      </c>
      <c r="M291" s="215">
        <v>0</v>
      </c>
      <c r="N291" s="262">
        <v>1750</v>
      </c>
      <c r="O291" s="215">
        <v>0</v>
      </c>
      <c r="P291" s="263">
        <v>0</v>
      </c>
      <c r="Q291" s="215">
        <v>0</v>
      </c>
      <c r="R291" s="132">
        <v>0</v>
      </c>
    </row>
    <row r="292" spans="2:18">
      <c r="B292" s="383"/>
      <c r="C292" s="276" t="s">
        <v>171</v>
      </c>
      <c r="D292" s="215">
        <v>6.4937799999999601</v>
      </c>
      <c r="E292" s="263">
        <v>7.09067999999934</v>
      </c>
      <c r="F292" s="269">
        <v>753.25761999999997</v>
      </c>
      <c r="G292" s="263">
        <v>-24.664704</v>
      </c>
      <c r="H292" s="215">
        <v>-26.652493999999901</v>
      </c>
      <c r="I292" s="132">
        <v>-4.0713000000005204</v>
      </c>
      <c r="K292" s="383"/>
      <c r="L292" s="276" t="s">
        <v>171</v>
      </c>
      <c r="M292" s="215">
        <v>0</v>
      </c>
      <c r="N292" s="263">
        <v>0</v>
      </c>
      <c r="O292" s="269">
        <v>750</v>
      </c>
      <c r="P292" s="263">
        <v>0</v>
      </c>
      <c r="Q292" s="215">
        <v>0</v>
      </c>
      <c r="R292" s="132">
        <v>0</v>
      </c>
    </row>
    <row r="293" spans="2:18">
      <c r="B293" s="383"/>
      <c r="C293" s="276" t="s">
        <v>172</v>
      </c>
      <c r="D293" s="215">
        <v>-6.4604999999997998</v>
      </c>
      <c r="E293" s="264">
        <v>375.16548</v>
      </c>
      <c r="F293" s="215">
        <v>-15.2337199999997</v>
      </c>
      <c r="G293" s="262">
        <v>3057.5808200000001</v>
      </c>
      <c r="H293" s="215">
        <v>6.8125960000000401</v>
      </c>
      <c r="I293" s="132">
        <v>-9.2978199999999998</v>
      </c>
      <c r="K293" s="383"/>
      <c r="L293" s="276" t="s">
        <v>172</v>
      </c>
      <c r="M293" s="215">
        <v>0</v>
      </c>
      <c r="N293" s="264">
        <v>375</v>
      </c>
      <c r="O293" s="215">
        <v>0</v>
      </c>
      <c r="P293" s="262">
        <v>3000</v>
      </c>
      <c r="Q293" s="215">
        <v>0</v>
      </c>
      <c r="R293" s="132">
        <v>0</v>
      </c>
    </row>
    <row r="294" spans="2:18">
      <c r="B294" s="383"/>
      <c r="C294" s="276" t="s">
        <v>173</v>
      </c>
      <c r="D294" s="268">
        <v>-379.62849999999997</v>
      </c>
      <c r="E294" s="263">
        <v>3.8051799999999498</v>
      </c>
      <c r="F294" s="215">
        <v>5.0855200000000904</v>
      </c>
      <c r="G294" s="263">
        <v>16.8582320000001</v>
      </c>
      <c r="H294" s="269">
        <v>2986.8915259999999</v>
      </c>
      <c r="I294" s="132">
        <v>-2.4069600000001401</v>
      </c>
      <c r="K294" s="383"/>
      <c r="L294" s="276" t="s">
        <v>173</v>
      </c>
      <c r="M294" s="268">
        <v>-375</v>
      </c>
      <c r="N294" s="263">
        <v>0</v>
      </c>
      <c r="O294" s="215">
        <v>0</v>
      </c>
      <c r="P294" s="263">
        <v>0</v>
      </c>
      <c r="Q294" s="269">
        <v>3000</v>
      </c>
      <c r="R294" s="132">
        <v>0</v>
      </c>
    </row>
    <row r="295" spans="2:18" ht="15.75" thickBot="1">
      <c r="B295" s="383"/>
      <c r="C295" s="277" t="s">
        <v>174</v>
      </c>
      <c r="D295" s="218">
        <v>2.00192200000021</v>
      </c>
      <c r="E295" s="265">
        <v>2.1097399999998698</v>
      </c>
      <c r="F295" s="218">
        <v>15.616980000000201</v>
      </c>
      <c r="G295" s="265">
        <v>2.2875000000001702</v>
      </c>
      <c r="H295" s="218">
        <v>-2.21771599999997</v>
      </c>
      <c r="I295" s="266">
        <v>3329.7384999999999</v>
      </c>
      <c r="K295" s="383"/>
      <c r="L295" s="277" t="s">
        <v>174</v>
      </c>
      <c r="M295" s="218">
        <v>0</v>
      </c>
      <c r="N295" s="265">
        <v>0</v>
      </c>
      <c r="O295" s="218">
        <v>0</v>
      </c>
      <c r="P295" s="265">
        <v>0</v>
      </c>
      <c r="Q295" s="218">
        <v>0</v>
      </c>
      <c r="R295" s="266">
        <v>3300</v>
      </c>
    </row>
    <row r="296" spans="2:18" ht="15.75" thickBot="1">
      <c r="C296" s="260"/>
      <c r="D296" s="230"/>
      <c r="E296" s="230"/>
      <c r="F296" s="230"/>
      <c r="G296" s="230"/>
      <c r="H296" s="230"/>
      <c r="I296" s="230"/>
      <c r="K296" s="10"/>
      <c r="L296" s="260"/>
      <c r="M296" s="230"/>
      <c r="N296" s="230"/>
      <c r="O296" s="230"/>
      <c r="P296" s="230"/>
      <c r="Q296" s="230"/>
      <c r="R296" s="230"/>
    </row>
    <row r="297" spans="2:18" ht="15.75" thickBot="1">
      <c r="C297" s="260"/>
      <c r="D297" s="368" t="s">
        <v>46</v>
      </c>
      <c r="E297" s="369"/>
      <c r="F297" s="369"/>
      <c r="G297" s="369"/>
      <c r="H297" s="369"/>
      <c r="I297" s="370"/>
      <c r="K297" s="10"/>
      <c r="L297" s="260"/>
      <c r="M297" s="368" t="s">
        <v>46</v>
      </c>
      <c r="N297" s="369"/>
      <c r="O297" s="369"/>
      <c r="P297" s="369"/>
      <c r="Q297" s="369"/>
      <c r="R297" s="370"/>
    </row>
    <row r="298" spans="2:18" ht="15.75" thickBot="1">
      <c r="C298" s="260"/>
      <c r="D298" s="282" t="s">
        <v>175</v>
      </c>
      <c r="E298" s="279" t="s">
        <v>176</v>
      </c>
      <c r="F298" s="280" t="s">
        <v>177</v>
      </c>
      <c r="G298" s="279" t="s">
        <v>178</v>
      </c>
      <c r="H298" s="280" t="s">
        <v>178</v>
      </c>
      <c r="I298" s="279" t="s">
        <v>179</v>
      </c>
      <c r="K298" s="10"/>
      <c r="L298" s="260"/>
      <c r="M298" s="282" t="s">
        <v>175</v>
      </c>
      <c r="N298" s="279" t="s">
        <v>176</v>
      </c>
      <c r="O298" s="280" t="s">
        <v>177</v>
      </c>
      <c r="P298" s="279" t="s">
        <v>178</v>
      </c>
      <c r="Q298" s="280" t="s">
        <v>178</v>
      </c>
      <c r="R298" s="279" t="s">
        <v>179</v>
      </c>
    </row>
    <row r="299" spans="2:18">
      <c r="B299" s="383" t="s">
        <v>69</v>
      </c>
      <c r="C299" s="278" t="s">
        <v>175</v>
      </c>
      <c r="D299" s="270">
        <v>1355.75458</v>
      </c>
      <c r="E299" s="273">
        <v>11.838659999999701</v>
      </c>
      <c r="F299" s="272">
        <v>29.0542920000001</v>
      </c>
      <c r="G299" s="273">
        <v>-4.9900600000006499</v>
      </c>
      <c r="H299" s="272">
        <v>23.7939200000013</v>
      </c>
      <c r="I299" s="273">
        <v>12.8466000000017</v>
      </c>
      <c r="K299" s="383" t="s">
        <v>69</v>
      </c>
      <c r="L299" s="278" t="s">
        <v>175</v>
      </c>
      <c r="M299" s="270">
        <v>1350</v>
      </c>
      <c r="N299" s="273">
        <v>10</v>
      </c>
      <c r="O299" s="272">
        <v>30</v>
      </c>
      <c r="P299" s="273">
        <v>0</v>
      </c>
      <c r="Q299" s="272">
        <v>25</v>
      </c>
      <c r="R299" s="273">
        <v>20</v>
      </c>
    </row>
    <row r="300" spans="2:18">
      <c r="B300" s="383"/>
      <c r="C300" s="231" t="s">
        <v>176</v>
      </c>
      <c r="D300" s="220">
        <v>-9.69704000000036</v>
      </c>
      <c r="E300" s="269">
        <v>1357.8405600000001</v>
      </c>
      <c r="F300" s="263">
        <v>20.147080000000098</v>
      </c>
      <c r="G300" s="215">
        <v>-26.3969000000004</v>
      </c>
      <c r="H300" s="263">
        <v>-5.5498799999984403</v>
      </c>
      <c r="I300" s="215">
        <v>33.663200000002703</v>
      </c>
      <c r="K300" s="383"/>
      <c r="L300" s="231" t="s">
        <v>176</v>
      </c>
      <c r="M300" s="220">
        <v>-9.69704000000036</v>
      </c>
      <c r="N300" s="269">
        <v>1350</v>
      </c>
      <c r="O300" s="263">
        <v>20.147080000000098</v>
      </c>
      <c r="P300" s="215">
        <v>-25</v>
      </c>
      <c r="Q300" s="263">
        <v>0</v>
      </c>
      <c r="R300" s="215">
        <v>20</v>
      </c>
    </row>
    <row r="301" spans="2:18">
      <c r="B301" s="383"/>
      <c r="C301" s="231" t="s">
        <v>177</v>
      </c>
      <c r="D301" s="220">
        <v>-0.31590000000005602</v>
      </c>
      <c r="E301" s="215">
        <v>1.7253999999999201</v>
      </c>
      <c r="F301" s="262">
        <v>1113.5746999999999</v>
      </c>
      <c r="G301" s="215">
        <v>-11.8509199999997</v>
      </c>
      <c r="H301" s="263">
        <v>-32.827279999998801</v>
      </c>
      <c r="I301" s="215">
        <v>14.304800000002199</v>
      </c>
      <c r="K301" s="383"/>
      <c r="L301" s="231" t="s">
        <v>177</v>
      </c>
      <c r="M301" s="220">
        <v>-0.31590000000005602</v>
      </c>
      <c r="N301" s="215">
        <v>1.7253999999999201</v>
      </c>
      <c r="O301" s="262">
        <v>1100</v>
      </c>
      <c r="P301" s="215">
        <v>-10</v>
      </c>
      <c r="Q301" s="263">
        <v>-30</v>
      </c>
      <c r="R301" s="215">
        <v>20</v>
      </c>
    </row>
    <row r="302" spans="2:18">
      <c r="B302" s="383"/>
      <c r="C302" s="231" t="s">
        <v>180</v>
      </c>
      <c r="D302" s="220">
        <v>8.3792600000000501</v>
      </c>
      <c r="E302" s="268">
        <v>-14.3309000000002</v>
      </c>
      <c r="F302" s="263">
        <v>21.616382000000002</v>
      </c>
      <c r="G302" s="269">
        <v>4305.5497400000004</v>
      </c>
      <c r="H302" s="263">
        <v>30.753160000000602</v>
      </c>
      <c r="I302" s="215">
        <v>13.3494000000032</v>
      </c>
      <c r="K302" s="383"/>
      <c r="L302" s="231" t="s">
        <v>180</v>
      </c>
      <c r="M302" s="220">
        <v>10</v>
      </c>
      <c r="N302" s="268">
        <v>-15</v>
      </c>
      <c r="O302" s="263">
        <v>20</v>
      </c>
      <c r="P302" s="269">
        <v>4300</v>
      </c>
      <c r="Q302" s="263">
        <v>30</v>
      </c>
      <c r="R302" s="215">
        <v>20</v>
      </c>
    </row>
    <row r="303" spans="2:18">
      <c r="B303" s="383"/>
      <c r="C303" s="231" t="s">
        <v>178</v>
      </c>
      <c r="D303" s="271">
        <v>26.753200000000099</v>
      </c>
      <c r="E303" s="215">
        <v>2.19785999999965</v>
      </c>
      <c r="F303" s="263">
        <v>30.422260000000101</v>
      </c>
      <c r="G303" s="215">
        <v>37.889799999999397</v>
      </c>
      <c r="H303" s="262">
        <v>4318.6641200000004</v>
      </c>
      <c r="I303" s="215">
        <v>24.486400000003002</v>
      </c>
      <c r="K303" s="383"/>
      <c r="L303" s="231" t="s">
        <v>178</v>
      </c>
      <c r="M303" s="271">
        <v>30</v>
      </c>
      <c r="N303" s="215">
        <v>0</v>
      </c>
      <c r="O303" s="263">
        <v>30.422260000000101</v>
      </c>
      <c r="P303" s="215">
        <v>40</v>
      </c>
      <c r="Q303" s="262">
        <v>4300</v>
      </c>
      <c r="R303" s="215">
        <v>20</v>
      </c>
    </row>
    <row r="304" spans="2:18" ht="15.75" thickBot="1">
      <c r="B304" s="383"/>
      <c r="C304" s="232" t="s">
        <v>179</v>
      </c>
      <c r="D304" s="221">
        <v>-1.19130000000007</v>
      </c>
      <c r="E304" s="218">
        <v>9.2619399999995302</v>
      </c>
      <c r="F304" s="265">
        <v>29.0022400000001</v>
      </c>
      <c r="G304" s="218">
        <v>-26.1073000000004</v>
      </c>
      <c r="H304" s="265">
        <v>-16.704379999999102</v>
      </c>
      <c r="I304" s="274">
        <v>2602.0297999999998</v>
      </c>
      <c r="K304" s="383"/>
      <c r="L304" s="232" t="s">
        <v>179</v>
      </c>
      <c r="M304" s="221">
        <v>0</v>
      </c>
      <c r="N304" s="218">
        <v>10</v>
      </c>
      <c r="O304" s="265">
        <v>30</v>
      </c>
      <c r="P304" s="218">
        <v>-25</v>
      </c>
      <c r="Q304" s="265">
        <v>-15</v>
      </c>
      <c r="R304" s="274">
        <v>2600</v>
      </c>
    </row>
    <row r="305" spans="2:18" ht="15.75" thickBot="1">
      <c r="K305" s="10"/>
      <c r="L305" s="11"/>
    </row>
    <row r="306" spans="2:18" ht="15.75" thickBot="1">
      <c r="D306" s="368" t="s">
        <v>46</v>
      </c>
      <c r="E306" s="369"/>
      <c r="F306" s="369"/>
      <c r="G306" s="369"/>
      <c r="H306" s="369"/>
      <c r="I306" s="370"/>
      <c r="K306" s="10"/>
      <c r="L306" s="11"/>
      <c r="M306" s="368" t="s">
        <v>46</v>
      </c>
      <c r="N306" s="369"/>
      <c r="O306" s="369"/>
      <c r="P306" s="369"/>
      <c r="Q306" s="369"/>
      <c r="R306" s="370"/>
    </row>
    <row r="307" spans="2:18" ht="15.75" thickBot="1">
      <c r="C307" s="260"/>
      <c r="D307" s="157" t="s">
        <v>49</v>
      </c>
      <c r="E307" s="158" t="s">
        <v>50</v>
      </c>
      <c r="F307" s="160" t="s">
        <v>51</v>
      </c>
      <c r="G307" s="159" t="s">
        <v>52</v>
      </c>
      <c r="H307" s="158" t="s">
        <v>53</v>
      </c>
      <c r="I307" s="160" t="s">
        <v>54</v>
      </c>
      <c r="K307" s="10"/>
      <c r="L307" s="260"/>
      <c r="M307" s="363" t="s">
        <v>49</v>
      </c>
      <c r="N307" s="158" t="s">
        <v>50</v>
      </c>
      <c r="O307" s="160" t="s">
        <v>51</v>
      </c>
      <c r="P307" s="362" t="s">
        <v>52</v>
      </c>
      <c r="Q307" s="158" t="s">
        <v>53</v>
      </c>
      <c r="R307" s="160" t="s">
        <v>54</v>
      </c>
    </row>
    <row r="308" spans="2:18">
      <c r="B308" s="383" t="s">
        <v>69</v>
      </c>
      <c r="C308" s="275" t="s">
        <v>169</v>
      </c>
      <c r="D308" s="219">
        <v>1802.9266399999999</v>
      </c>
      <c r="E308" s="212">
        <v>-828.96127999999999</v>
      </c>
      <c r="F308" s="224">
        <v>-817.81430000000103</v>
      </c>
      <c r="G308" s="261">
        <v>22.510439999999502</v>
      </c>
      <c r="H308" s="212">
        <v>-7.6931200000000199</v>
      </c>
      <c r="I308" s="224">
        <v>-10.9781799999994</v>
      </c>
      <c r="K308" s="383" t="s">
        <v>69</v>
      </c>
      <c r="L308" s="275" t="s">
        <v>169</v>
      </c>
      <c r="M308" s="219">
        <v>1800</v>
      </c>
      <c r="N308" s="212">
        <v>-820</v>
      </c>
      <c r="O308" s="224">
        <v>-820</v>
      </c>
      <c r="P308" s="261">
        <v>0</v>
      </c>
      <c r="Q308" s="212">
        <v>0</v>
      </c>
      <c r="R308" s="224">
        <v>0</v>
      </c>
    </row>
    <row r="309" spans="2:18" ht="15" customHeight="1">
      <c r="B309" s="383"/>
      <c r="C309" s="276" t="s">
        <v>170</v>
      </c>
      <c r="D309" s="220">
        <v>-29.900603999999898</v>
      </c>
      <c r="E309" s="215">
        <v>1522.13724</v>
      </c>
      <c r="F309" s="132">
        <v>-1483.839688</v>
      </c>
      <c r="G309" s="263">
        <v>-4.4157800000004404</v>
      </c>
      <c r="H309" s="215">
        <v>17.791019999999801</v>
      </c>
      <c r="I309" s="132">
        <v>-9.2237399999996192</v>
      </c>
      <c r="K309" s="383"/>
      <c r="L309" s="276" t="s">
        <v>170</v>
      </c>
      <c r="M309" s="220">
        <v>0</v>
      </c>
      <c r="N309" s="215">
        <v>1500</v>
      </c>
      <c r="O309" s="132">
        <v>-1500</v>
      </c>
      <c r="P309" s="263">
        <v>0</v>
      </c>
      <c r="Q309" s="215">
        <v>0</v>
      </c>
      <c r="R309" s="132">
        <v>0</v>
      </c>
    </row>
    <row r="310" spans="2:18">
      <c r="B310" s="383"/>
      <c r="C310" s="276" t="s">
        <v>171</v>
      </c>
      <c r="D310" s="220">
        <v>-9.5025999999998607</v>
      </c>
      <c r="E310" s="215">
        <v>-4.9917439999998701</v>
      </c>
      <c r="F310" s="132">
        <v>-17.6066000000001</v>
      </c>
      <c r="G310" s="263">
        <v>771.83216000000004</v>
      </c>
      <c r="H310" s="215">
        <v>752.29700000000003</v>
      </c>
      <c r="I310" s="132">
        <v>727.48710000000005</v>
      </c>
      <c r="K310" s="383"/>
      <c r="L310" s="276" t="s">
        <v>171</v>
      </c>
      <c r="M310" s="220">
        <v>0</v>
      </c>
      <c r="N310" s="215">
        <v>0</v>
      </c>
      <c r="O310" s="132">
        <v>0</v>
      </c>
      <c r="P310" s="263">
        <v>771.83216000000004</v>
      </c>
      <c r="Q310" s="215">
        <v>750</v>
      </c>
      <c r="R310" s="132">
        <v>700</v>
      </c>
    </row>
    <row r="311" spans="2:18">
      <c r="B311" s="383"/>
      <c r="C311" s="276" t="s">
        <v>172</v>
      </c>
      <c r="D311" s="220">
        <v>-20.876139999999999</v>
      </c>
      <c r="E311" s="215">
        <v>156.86588</v>
      </c>
      <c r="F311" s="132">
        <v>-170.131200000001</v>
      </c>
      <c r="G311" s="263">
        <v>-2948.7794399999998</v>
      </c>
      <c r="H311" s="215">
        <v>2469.4441999999999</v>
      </c>
      <c r="I311" s="132">
        <v>451.50353999999999</v>
      </c>
      <c r="K311" s="383"/>
      <c r="L311" s="276" t="s">
        <v>172</v>
      </c>
      <c r="M311" s="220">
        <v>0</v>
      </c>
      <c r="N311" s="215">
        <v>160</v>
      </c>
      <c r="O311" s="132">
        <v>-160</v>
      </c>
      <c r="P311" s="263">
        <v>-2950</v>
      </c>
      <c r="Q311" s="215">
        <v>2450</v>
      </c>
      <c r="R311" s="132">
        <v>450</v>
      </c>
    </row>
    <row r="312" spans="2:18">
      <c r="B312" s="383"/>
      <c r="C312" s="276" t="s">
        <v>173</v>
      </c>
      <c r="D312" s="220">
        <v>-208.93521999999999</v>
      </c>
      <c r="E312" s="215">
        <v>111.0004</v>
      </c>
      <c r="F312" s="132">
        <v>68.674999999999699</v>
      </c>
      <c r="G312" s="263">
        <v>-1166.7248400000001</v>
      </c>
      <c r="H312" s="215">
        <v>-1890.2982</v>
      </c>
      <c r="I312" s="132">
        <v>3068.3589000000002</v>
      </c>
      <c r="K312" s="383"/>
      <c r="L312" s="276" t="s">
        <v>173</v>
      </c>
      <c r="M312" s="220">
        <v>-200</v>
      </c>
      <c r="N312" s="215">
        <v>110</v>
      </c>
      <c r="O312" s="132">
        <v>70</v>
      </c>
      <c r="P312" s="263">
        <v>-1150</v>
      </c>
      <c r="Q312" s="215">
        <v>-2000</v>
      </c>
      <c r="R312" s="132">
        <v>3050</v>
      </c>
    </row>
    <row r="313" spans="2:18" ht="15.75" thickBot="1">
      <c r="B313" s="383"/>
      <c r="C313" s="277" t="s">
        <v>174</v>
      </c>
      <c r="D313" s="221">
        <v>3230.4048400000001</v>
      </c>
      <c r="E313" s="218">
        <v>3197.1294400000002</v>
      </c>
      <c r="F313" s="135">
        <v>3195.2388000000001</v>
      </c>
      <c r="G313" s="265">
        <v>18.453580000000098</v>
      </c>
      <c r="H313" s="218">
        <v>22.60304</v>
      </c>
      <c r="I313" s="135">
        <v>27.149940000000299</v>
      </c>
      <c r="K313" s="383"/>
      <c r="L313" s="277" t="s">
        <v>174</v>
      </c>
      <c r="M313" s="221">
        <v>3200</v>
      </c>
      <c r="N313" s="218">
        <v>3200</v>
      </c>
      <c r="O313" s="135">
        <v>3200</v>
      </c>
      <c r="P313" s="265">
        <v>0</v>
      </c>
      <c r="Q313" s="218">
        <v>0</v>
      </c>
      <c r="R313" s="135">
        <v>0</v>
      </c>
    </row>
    <row r="314" spans="2:18">
      <c r="C314" s="260"/>
      <c r="D314" s="230"/>
      <c r="E314" s="230"/>
      <c r="F314" s="230"/>
      <c r="G314" s="230"/>
      <c r="H314" s="230"/>
      <c r="I314" s="230"/>
      <c r="K314" s="10"/>
      <c r="L314" s="260"/>
      <c r="M314" s="230"/>
      <c r="N314" s="230"/>
      <c r="O314" s="230"/>
      <c r="P314" s="230"/>
      <c r="Q314" s="230"/>
      <c r="R314" s="230"/>
    </row>
    <row r="315" spans="2:18" ht="15.75" thickBot="1">
      <c r="C315" s="260"/>
      <c r="D315" s="397" t="s">
        <v>46</v>
      </c>
      <c r="E315" s="397"/>
      <c r="F315" s="397"/>
      <c r="G315" s="397"/>
      <c r="H315" s="397"/>
      <c r="I315" s="397"/>
      <c r="K315" s="10"/>
      <c r="L315" s="260"/>
      <c r="M315" s="397" t="s">
        <v>46</v>
      </c>
      <c r="N315" s="397"/>
      <c r="O315" s="397"/>
      <c r="P315" s="397"/>
      <c r="Q315" s="397"/>
      <c r="R315" s="397"/>
    </row>
    <row r="316" spans="2:18" ht="15.75" thickBot="1">
      <c r="C316" s="260"/>
      <c r="D316" s="283" t="s">
        <v>55</v>
      </c>
      <c r="E316" s="286" t="s">
        <v>56</v>
      </c>
      <c r="F316" s="284" t="s">
        <v>57</v>
      </c>
      <c r="G316" s="283" t="s">
        <v>58</v>
      </c>
      <c r="H316" s="286" t="s">
        <v>59</v>
      </c>
      <c r="I316" s="285" t="s">
        <v>60</v>
      </c>
      <c r="K316" s="10"/>
      <c r="L316" s="260"/>
      <c r="M316" s="283" t="s">
        <v>55</v>
      </c>
      <c r="N316" s="286" t="s">
        <v>56</v>
      </c>
      <c r="O316" s="284" t="s">
        <v>57</v>
      </c>
      <c r="P316" s="283" t="s">
        <v>58</v>
      </c>
      <c r="Q316" s="286" t="s">
        <v>59</v>
      </c>
      <c r="R316" s="285" t="s">
        <v>60</v>
      </c>
    </row>
    <row r="317" spans="2:18">
      <c r="B317" s="383" t="s">
        <v>69</v>
      </c>
      <c r="C317" s="275" t="s">
        <v>175</v>
      </c>
      <c r="D317" s="219">
        <v>716.07700000000102</v>
      </c>
      <c r="E317" s="212">
        <v>-1342.10626</v>
      </c>
      <c r="F317" s="224">
        <v>675.90359999999998</v>
      </c>
      <c r="G317" s="261">
        <v>30.596600000000102</v>
      </c>
      <c r="H317" s="212">
        <v>14.719732799999999</v>
      </c>
      <c r="I317" s="224">
        <v>44.406299999999597</v>
      </c>
      <c r="K317" s="383" t="s">
        <v>69</v>
      </c>
      <c r="L317" s="275" t="s">
        <v>175</v>
      </c>
      <c r="M317" s="219">
        <v>700</v>
      </c>
      <c r="N317" s="212">
        <v>-1350</v>
      </c>
      <c r="O317" s="224">
        <v>650</v>
      </c>
      <c r="P317" s="261">
        <v>0</v>
      </c>
      <c r="Q317" s="212">
        <v>0</v>
      </c>
      <c r="R317" s="224">
        <v>0</v>
      </c>
    </row>
    <row r="318" spans="2:18" ht="15" customHeight="1">
      <c r="B318" s="383"/>
      <c r="C318" s="276" t="s">
        <v>176</v>
      </c>
      <c r="D318" s="220">
        <v>1197.7539999999999</v>
      </c>
      <c r="E318" s="215">
        <v>18.1346000000012</v>
      </c>
      <c r="F318" s="132">
        <v>-1152.7819999999999</v>
      </c>
      <c r="G318" s="263">
        <v>42.400399999999799</v>
      </c>
      <c r="H318" s="215">
        <v>9.6046835999999995</v>
      </c>
      <c r="I318" s="132">
        <v>14.6288399999998</v>
      </c>
      <c r="K318" s="383"/>
      <c r="L318" s="276" t="s">
        <v>176</v>
      </c>
      <c r="M318" s="220">
        <v>1200</v>
      </c>
      <c r="N318" s="215">
        <v>0</v>
      </c>
      <c r="O318" s="132">
        <v>-1150</v>
      </c>
      <c r="P318" s="263">
        <v>0</v>
      </c>
      <c r="Q318" s="215">
        <v>0</v>
      </c>
      <c r="R318" s="132">
        <v>0</v>
      </c>
    </row>
    <row r="319" spans="2:18">
      <c r="B319" s="383"/>
      <c r="C319" s="276" t="s">
        <v>177</v>
      </c>
      <c r="D319" s="220">
        <v>-2.9856000000004301</v>
      </c>
      <c r="E319" s="215">
        <v>5.8498000000008696</v>
      </c>
      <c r="F319" s="132">
        <v>14.4887999999996</v>
      </c>
      <c r="G319" s="263">
        <v>1132.7526816</v>
      </c>
      <c r="H319" s="215">
        <v>1135.0410715999999</v>
      </c>
      <c r="I319" s="132">
        <v>1104.4658199999999</v>
      </c>
      <c r="K319" s="383"/>
      <c r="L319" s="276" t="s">
        <v>177</v>
      </c>
      <c r="M319" s="220">
        <v>0</v>
      </c>
      <c r="N319" s="215">
        <v>0</v>
      </c>
      <c r="O319" s="132">
        <v>0</v>
      </c>
      <c r="P319" s="263">
        <v>1100</v>
      </c>
      <c r="Q319" s="215">
        <v>1100</v>
      </c>
      <c r="R319" s="132">
        <v>1100</v>
      </c>
    </row>
    <row r="320" spans="2:18">
      <c r="B320" s="383"/>
      <c r="C320" s="276" t="s">
        <v>180</v>
      </c>
      <c r="D320" s="220">
        <v>-277.28680000000003</v>
      </c>
      <c r="E320" s="215">
        <v>2.38660000000118</v>
      </c>
      <c r="F320" s="132">
        <v>288.023400000001</v>
      </c>
      <c r="G320" s="263">
        <v>-2522.8485999999998</v>
      </c>
      <c r="H320" s="215">
        <v>2573.8582716000001</v>
      </c>
      <c r="I320" s="132">
        <v>-49.441280000000198</v>
      </c>
      <c r="K320" s="383"/>
      <c r="L320" s="276" t="s">
        <v>180</v>
      </c>
      <c r="M320" s="220">
        <v>-300</v>
      </c>
      <c r="N320" s="215">
        <v>0</v>
      </c>
      <c r="O320" s="132">
        <v>300</v>
      </c>
      <c r="P320" s="263">
        <v>-2500</v>
      </c>
      <c r="Q320" s="215">
        <v>2500</v>
      </c>
      <c r="R320" s="132">
        <v>-50</v>
      </c>
    </row>
    <row r="321" spans="1:18">
      <c r="B321" s="383"/>
      <c r="C321" s="276" t="s">
        <v>178</v>
      </c>
      <c r="D321" s="220">
        <v>199.68220000000099</v>
      </c>
      <c r="E321" s="215">
        <v>-313.28840000000002</v>
      </c>
      <c r="F321" s="132">
        <v>188.59960000000001</v>
      </c>
      <c r="G321" s="263">
        <v>-1514.4169999999999</v>
      </c>
      <c r="H321" s="215">
        <v>-1410.2201284</v>
      </c>
      <c r="I321" s="132">
        <v>2971.6130199999998</v>
      </c>
      <c r="K321" s="383"/>
      <c r="L321" s="276" t="s">
        <v>178</v>
      </c>
      <c r="M321" s="220">
        <v>200</v>
      </c>
      <c r="N321" s="215">
        <v>-300</v>
      </c>
      <c r="O321" s="132">
        <v>200</v>
      </c>
      <c r="P321" s="263">
        <v>-1500</v>
      </c>
      <c r="Q321" s="215">
        <v>-1400</v>
      </c>
      <c r="R321" s="132">
        <v>3000</v>
      </c>
    </row>
    <row r="322" spans="1:18" ht="15.75" thickBot="1">
      <c r="B322" s="383"/>
      <c r="C322" s="277" t="s">
        <v>179</v>
      </c>
      <c r="D322" s="221">
        <v>1797.2947999999999</v>
      </c>
      <c r="E322" s="218">
        <v>1822.1905999999999</v>
      </c>
      <c r="F322" s="135">
        <v>1792.3050000000001</v>
      </c>
      <c r="G322" s="265">
        <v>45.863159999999901</v>
      </c>
      <c r="H322" s="218">
        <v>6.9954080000000101</v>
      </c>
      <c r="I322" s="135">
        <v>37.047679999999801</v>
      </c>
      <c r="K322" s="383"/>
      <c r="L322" s="277" t="s">
        <v>179</v>
      </c>
      <c r="M322" s="221">
        <v>1800</v>
      </c>
      <c r="N322" s="218">
        <v>1800</v>
      </c>
      <c r="O322" s="135">
        <v>1800</v>
      </c>
      <c r="P322" s="265">
        <v>40</v>
      </c>
      <c r="Q322" s="218">
        <v>40</v>
      </c>
      <c r="R322" s="135">
        <v>40</v>
      </c>
    </row>
    <row r="325" spans="1:18" ht="15.75" thickBot="1">
      <c r="A325" s="101" t="s">
        <v>35</v>
      </c>
    </row>
    <row r="326" spans="1:18" ht="15.75" thickBot="1">
      <c r="A326" s="101" t="s">
        <v>210</v>
      </c>
      <c r="B326" s="103" t="s">
        <v>211</v>
      </c>
      <c r="C326" s="103" t="s">
        <v>212</v>
      </c>
      <c r="D326" s="103" t="s">
        <v>217</v>
      </c>
      <c r="E326" s="23"/>
    </row>
    <row r="327" spans="1:18">
      <c r="B327" s="89">
        <v>3</v>
      </c>
      <c r="C327" s="89">
        <v>610</v>
      </c>
      <c r="D327" s="27" t="s">
        <v>150</v>
      </c>
      <c r="E327" s="23"/>
    </row>
    <row r="328" spans="1:18">
      <c r="B328" s="56">
        <v>2</v>
      </c>
      <c r="C328" s="56">
        <v>233</v>
      </c>
      <c r="D328" s="21" t="s">
        <v>150</v>
      </c>
      <c r="E328" s="23"/>
    </row>
    <row r="329" spans="1:18">
      <c r="B329" s="56">
        <v>2</v>
      </c>
      <c r="C329" s="56">
        <v>10</v>
      </c>
      <c r="D329" s="21" t="s">
        <v>213</v>
      </c>
      <c r="E329" s="23"/>
    </row>
    <row r="330" spans="1:18">
      <c r="A330" t="s">
        <v>214</v>
      </c>
      <c r="B330" s="56">
        <v>1</v>
      </c>
      <c r="C330" s="56">
        <v>7.8</v>
      </c>
      <c r="D330" s="21" t="s">
        <v>213</v>
      </c>
      <c r="E330" s="23" t="s">
        <v>285</v>
      </c>
    </row>
    <row r="331" spans="1:18">
      <c r="A331" t="s">
        <v>215</v>
      </c>
      <c r="B331" s="56">
        <v>2</v>
      </c>
      <c r="C331" s="56">
        <v>4.5</v>
      </c>
      <c r="D331" s="21" t="s">
        <v>213</v>
      </c>
      <c r="E331" s="23" t="s">
        <v>286</v>
      </c>
    </row>
    <row r="332" spans="1:18" ht="15.75" thickBot="1">
      <c r="A332" t="s">
        <v>216</v>
      </c>
      <c r="B332" s="57">
        <v>2</v>
      </c>
      <c r="C332" s="57">
        <v>2.1</v>
      </c>
      <c r="D332" s="22" t="s">
        <v>213</v>
      </c>
      <c r="E332" s="23" t="s">
        <v>287</v>
      </c>
    </row>
    <row r="333" spans="1:18" ht="15.75" thickBot="1">
      <c r="A333"/>
      <c r="B333" s="347"/>
      <c r="C333" s="347"/>
      <c r="D333" s="45"/>
      <c r="E333" s="23"/>
    </row>
    <row r="334" spans="1:18" ht="15.75" thickBot="1">
      <c r="B334" s="368" t="s">
        <v>35</v>
      </c>
      <c r="C334" s="369"/>
      <c r="D334" s="369"/>
      <c r="E334" s="370"/>
    </row>
    <row r="335" spans="1:18" ht="15.75" thickBot="1">
      <c r="B335" s="178" t="s">
        <v>211</v>
      </c>
      <c r="C335" s="103" t="s">
        <v>309</v>
      </c>
      <c r="D335" s="158" t="s">
        <v>354</v>
      </c>
      <c r="E335" s="158" t="s">
        <v>310</v>
      </c>
      <c r="H335" s="312" t="s">
        <v>211</v>
      </c>
      <c r="I335" s="103" t="s">
        <v>212</v>
      </c>
      <c r="J335" s="313"/>
      <c r="K335" s="103" t="s">
        <v>217</v>
      </c>
    </row>
    <row r="336" spans="1:18">
      <c r="B336" s="79">
        <v>3</v>
      </c>
      <c r="C336" s="202">
        <f>C327*0.45359237</f>
        <v>276.6913457</v>
      </c>
      <c r="D336" s="54">
        <f>E336*0.459</f>
        <v>381.0039830289</v>
      </c>
      <c r="E336" s="54">
        <f t="shared" ref="E336:E341" si="19">B336*C336</f>
        <v>830.07403709999994</v>
      </c>
      <c r="H336" s="79">
        <v>3</v>
      </c>
      <c r="I336" s="89">
        <f>600</f>
        <v>600</v>
      </c>
      <c r="J336" s="206">
        <f>H336*I336</f>
        <v>1800</v>
      </c>
      <c r="K336" s="27" t="s">
        <v>150</v>
      </c>
    </row>
    <row r="337" spans="1:11">
      <c r="B337" s="77">
        <v>2</v>
      </c>
      <c r="C337" s="202">
        <f>C328*0.45359237</f>
        <v>105.68702221000001</v>
      </c>
      <c r="D337" s="55">
        <f t="shared" ref="D337:D341" si="20">E337*0.459</f>
        <v>97.020686388780007</v>
      </c>
      <c r="E337" s="55">
        <f t="shared" si="19"/>
        <v>211.37404442000002</v>
      </c>
      <c r="H337" s="77">
        <v>2</v>
      </c>
      <c r="I337" s="56">
        <f>200</f>
        <v>200</v>
      </c>
      <c r="J337" s="84">
        <f t="shared" ref="J337:J341" si="21">H337*I337</f>
        <v>400</v>
      </c>
      <c r="K337" s="21" t="s">
        <v>150</v>
      </c>
    </row>
    <row r="338" spans="1:11">
      <c r="B338" s="77">
        <v>2</v>
      </c>
      <c r="C338" s="202">
        <f>C329</f>
        <v>10</v>
      </c>
      <c r="D338" s="55">
        <f t="shared" si="20"/>
        <v>9.18</v>
      </c>
      <c r="E338" s="55">
        <f t="shared" si="19"/>
        <v>20</v>
      </c>
      <c r="H338" s="77">
        <v>2</v>
      </c>
      <c r="I338" s="55">
        <f>10/0.45359237</f>
        <v>22.046226218487757</v>
      </c>
      <c r="J338" s="84">
        <f t="shared" si="21"/>
        <v>44.092452436975513</v>
      </c>
      <c r="K338" s="21" t="s">
        <v>150</v>
      </c>
    </row>
    <row r="339" spans="1:11">
      <c r="B339" s="77">
        <v>1</v>
      </c>
      <c r="C339" s="77">
        <v>7.8</v>
      </c>
      <c r="D339" s="55">
        <f t="shared" si="20"/>
        <v>3.5802</v>
      </c>
      <c r="E339" s="55">
        <f t="shared" si="19"/>
        <v>7.8</v>
      </c>
      <c r="H339" s="77">
        <v>1</v>
      </c>
      <c r="I339" s="55">
        <f>7.8/0.45359237</f>
        <v>17.19605645042045</v>
      </c>
      <c r="J339" s="84">
        <f t="shared" si="21"/>
        <v>17.19605645042045</v>
      </c>
      <c r="K339" s="21" t="s">
        <v>150</v>
      </c>
    </row>
    <row r="340" spans="1:11">
      <c r="B340" s="77">
        <v>2</v>
      </c>
      <c r="C340" s="77">
        <v>4.5</v>
      </c>
      <c r="D340" s="55">
        <f t="shared" si="20"/>
        <v>4.1310000000000002</v>
      </c>
      <c r="E340" s="55">
        <f t="shared" si="19"/>
        <v>9</v>
      </c>
      <c r="H340" s="77">
        <v>2</v>
      </c>
      <c r="I340" s="55">
        <f>4.5/0.45359237</f>
        <v>9.9208017983194914</v>
      </c>
      <c r="J340" s="84">
        <f t="shared" si="21"/>
        <v>19.841603596638983</v>
      </c>
      <c r="K340" s="21" t="s">
        <v>150</v>
      </c>
    </row>
    <row r="341" spans="1:11" ht="15.75" thickBot="1">
      <c r="B341" s="328">
        <v>2</v>
      </c>
      <c r="C341" s="78">
        <v>2.1</v>
      </c>
      <c r="D341" s="70">
        <f t="shared" si="20"/>
        <v>1.9278000000000002</v>
      </c>
      <c r="E341" s="70">
        <f t="shared" si="19"/>
        <v>4.2</v>
      </c>
      <c r="H341" s="78">
        <v>2</v>
      </c>
      <c r="I341" s="319">
        <f>2.1/0.45359237</f>
        <v>4.6297075058824291</v>
      </c>
      <c r="J341" s="85">
        <f t="shared" si="21"/>
        <v>9.2594150117648581</v>
      </c>
      <c r="K341" s="22" t="s">
        <v>150</v>
      </c>
    </row>
    <row r="342" spans="1:11" ht="15.75" thickBot="1">
      <c r="B342" s="371" t="s">
        <v>311</v>
      </c>
      <c r="C342" s="372"/>
      <c r="D342" s="332">
        <f>SUM(D336:D341)</f>
        <v>496.84366941768002</v>
      </c>
      <c r="E342" s="332">
        <f>SUM(E336:E341)</f>
        <v>1082.44808152</v>
      </c>
      <c r="H342" s="11"/>
      <c r="I342" s="11"/>
      <c r="J342" s="292">
        <f>SUM(J336:J341)</f>
        <v>2290.3895274957999</v>
      </c>
      <c r="K342" s="23" t="s">
        <v>150</v>
      </c>
    </row>
    <row r="344" spans="1:11">
      <c r="E344" s="359"/>
    </row>
    <row r="345" spans="1:11">
      <c r="A345" s="101" t="s">
        <v>34</v>
      </c>
    </row>
    <row r="346" spans="1:11">
      <c r="A346" s="101" t="s">
        <v>210</v>
      </c>
      <c r="F346">
        <f>28.9/0.45</f>
        <v>64.222222222222214</v>
      </c>
    </row>
    <row r="348" spans="1:11">
      <c r="A348" t="s">
        <v>218</v>
      </c>
      <c r="B348" s="10">
        <v>12</v>
      </c>
      <c r="C348" s="23" t="s">
        <v>150</v>
      </c>
    </row>
    <row r="349" spans="1:11">
      <c r="A349" t="s">
        <v>219</v>
      </c>
      <c r="B349" s="10">
        <v>10</v>
      </c>
      <c r="C349" s="23" t="s">
        <v>150</v>
      </c>
    </row>
    <row r="350" spans="1:11">
      <c r="A350" t="s">
        <v>220</v>
      </c>
      <c r="B350" s="10">
        <v>10</v>
      </c>
      <c r="C350" s="23" t="s">
        <v>150</v>
      </c>
    </row>
    <row r="351" spans="1:11" ht="15.75" thickBot="1">
      <c r="A351"/>
      <c r="C351" s="23"/>
    </row>
    <row r="352" spans="1:11" ht="15.75" thickBot="1">
      <c r="A352" s="368" t="s">
        <v>34</v>
      </c>
      <c r="B352" s="369"/>
      <c r="C352" s="370"/>
      <c r="E352" s="368" t="s">
        <v>34</v>
      </c>
      <c r="F352" s="370"/>
      <c r="G352" s="361"/>
    </row>
    <row r="353" spans="1:6" ht="15.75" thickBot="1">
      <c r="A353" s="320" t="s">
        <v>288</v>
      </c>
      <c r="B353" s="158" t="s">
        <v>289</v>
      </c>
      <c r="C353" s="160" t="s">
        <v>309</v>
      </c>
      <c r="E353" s="346" t="s">
        <v>288</v>
      </c>
      <c r="F353" s="103" t="s">
        <v>309</v>
      </c>
    </row>
    <row r="354" spans="1:6">
      <c r="A354" s="79" t="s">
        <v>290</v>
      </c>
      <c r="B354" s="290">
        <v>12</v>
      </c>
      <c r="C354" s="330">
        <f>B354*0.454</f>
        <v>5.4480000000000004</v>
      </c>
      <c r="E354" s="79" t="s">
        <v>290</v>
      </c>
      <c r="F354" s="330">
        <f>C354</f>
        <v>5.4480000000000004</v>
      </c>
    </row>
    <row r="355" spans="1:6">
      <c r="A355" s="77" t="s">
        <v>291</v>
      </c>
      <c r="B355" s="77">
        <v>25.5</v>
      </c>
      <c r="C355" s="331">
        <f t="shared" ref="C355:C359" si="22">B355*0.454</f>
        <v>11.577</v>
      </c>
      <c r="E355" s="77" t="s">
        <v>291</v>
      </c>
      <c r="F355" s="331">
        <f t="shared" ref="F355:F360" si="23">C355</f>
        <v>11.577</v>
      </c>
    </row>
    <row r="356" spans="1:6">
      <c r="A356" s="42" t="s">
        <v>292</v>
      </c>
      <c r="B356" s="77">
        <v>12</v>
      </c>
      <c r="C356" s="331">
        <f t="shared" si="22"/>
        <v>5.4480000000000004</v>
      </c>
      <c r="E356" s="42" t="s">
        <v>292</v>
      </c>
      <c r="F356" s="331">
        <f t="shared" si="23"/>
        <v>5.4480000000000004</v>
      </c>
    </row>
    <row r="357" spans="1:6">
      <c r="A357" s="42" t="s">
        <v>293</v>
      </c>
      <c r="B357" s="77">
        <v>5.5</v>
      </c>
      <c r="C357" s="331">
        <f t="shared" si="22"/>
        <v>2.4969999999999999</v>
      </c>
      <c r="E357" s="42" t="s">
        <v>293</v>
      </c>
      <c r="F357" s="331">
        <f t="shared" si="23"/>
        <v>2.4969999999999999</v>
      </c>
    </row>
    <row r="358" spans="1:6">
      <c r="A358" s="42" t="s">
        <v>294</v>
      </c>
      <c r="B358" s="77">
        <v>12</v>
      </c>
      <c r="C358" s="331">
        <f t="shared" si="22"/>
        <v>5.4480000000000004</v>
      </c>
      <c r="E358" s="42" t="s">
        <v>294</v>
      </c>
      <c r="F358" s="331">
        <f t="shared" si="23"/>
        <v>5.4480000000000004</v>
      </c>
    </row>
    <row r="359" spans="1:6" ht="15.75" thickBot="1">
      <c r="A359" s="321" t="s">
        <v>295</v>
      </c>
      <c r="B359" s="328">
        <v>11.5</v>
      </c>
      <c r="C359" s="319">
        <f t="shared" si="22"/>
        <v>5.2210000000000001</v>
      </c>
      <c r="E359" s="321" t="s">
        <v>295</v>
      </c>
      <c r="F359" s="319">
        <f t="shared" si="23"/>
        <v>5.2210000000000001</v>
      </c>
    </row>
    <row r="360" spans="1:6" ht="15.75" thickBot="1">
      <c r="A360" s="322" t="s">
        <v>308</v>
      </c>
      <c r="B360" s="323">
        <f>SUM(B354:B359)</f>
        <v>78.5</v>
      </c>
      <c r="C360" s="329">
        <f>SUM(C354:C359)</f>
        <v>35.638999999999996</v>
      </c>
      <c r="E360" s="322" t="s">
        <v>308</v>
      </c>
      <c r="F360" s="360">
        <f t="shared" si="23"/>
        <v>35.638999999999996</v>
      </c>
    </row>
    <row r="361" spans="1:6">
      <c r="A361"/>
    </row>
    <row r="362" spans="1:6">
      <c r="A362"/>
    </row>
    <row r="364" spans="1:6">
      <c r="A364" t="s">
        <v>299</v>
      </c>
      <c r="B364" s="10">
        <v>0.28899999999999998</v>
      </c>
      <c r="C364" s="23" t="s">
        <v>298</v>
      </c>
    </row>
    <row r="365" spans="1:6">
      <c r="A365" t="s">
        <v>300</v>
      </c>
    </row>
    <row r="366" spans="1:6">
      <c r="A366" s="10" t="s">
        <v>296</v>
      </c>
      <c r="B366" t="s">
        <v>297</v>
      </c>
    </row>
    <row r="367" spans="1:6">
      <c r="A367" s="10">
        <v>0.80600000000000005</v>
      </c>
      <c r="B367" s="310">
        <f>A367*$A$376</f>
        <v>5.5972222222222223</v>
      </c>
    </row>
    <row r="368" spans="1:6">
      <c r="A368" s="10">
        <v>0.76</v>
      </c>
      <c r="B368" s="310">
        <f t="shared" ref="B368:B369" si="24">A368*$A$376</f>
        <v>5.2777777777777777</v>
      </c>
    </row>
    <row r="369" spans="1:3">
      <c r="A369" s="10">
        <v>0.23200000000000001</v>
      </c>
      <c r="B369" s="310">
        <f t="shared" si="24"/>
        <v>1.6111111111111112</v>
      </c>
    </row>
    <row r="370" spans="1:3">
      <c r="C370" s="23" t="s">
        <v>306</v>
      </c>
    </row>
    <row r="371" spans="1:3">
      <c r="A371" t="s">
        <v>301</v>
      </c>
      <c r="B371" s="10">
        <v>0.5</v>
      </c>
      <c r="C371" s="11">
        <v>3</v>
      </c>
    </row>
    <row r="372" spans="1:3">
      <c r="A372" t="s">
        <v>302</v>
      </c>
      <c r="B372" s="10">
        <v>0.14000000000000001</v>
      </c>
      <c r="C372" s="11">
        <v>1</v>
      </c>
    </row>
    <row r="373" spans="1:3">
      <c r="A373" t="s">
        <v>303</v>
      </c>
      <c r="B373" s="10">
        <v>0.28000000000000003</v>
      </c>
      <c r="C373" s="11">
        <v>2</v>
      </c>
    </row>
    <row r="374" spans="1:3">
      <c r="A374" t="s">
        <v>304</v>
      </c>
      <c r="B374" s="10">
        <v>0.72</v>
      </c>
      <c r="C374" s="11">
        <v>5</v>
      </c>
    </row>
    <row r="375" spans="1:3">
      <c r="A375" t="s">
        <v>305</v>
      </c>
      <c r="B375" s="10">
        <v>7.0000000000000007E-2</v>
      </c>
      <c r="C375" s="11">
        <v>0.5</v>
      </c>
    </row>
    <row r="376" spans="1:3">
      <c r="A376" s="10">
        <f>C374/B374</f>
        <v>6.9444444444444446</v>
      </c>
    </row>
  </sheetData>
  <mergeCells count="81">
    <mergeCell ref="K308:K313"/>
    <mergeCell ref="M315:R315"/>
    <mergeCell ref="K317:K322"/>
    <mergeCell ref="M288:R288"/>
    <mergeCell ref="K290:K295"/>
    <mergeCell ref="M297:R297"/>
    <mergeCell ref="K299:K304"/>
    <mergeCell ref="M306:R306"/>
    <mergeCell ref="E352:F352"/>
    <mergeCell ref="B334:E334"/>
    <mergeCell ref="A17:B17"/>
    <mergeCell ref="C19:C21"/>
    <mergeCell ref="C15:C17"/>
    <mergeCell ref="D297:I297"/>
    <mergeCell ref="A233:A238"/>
    <mergeCell ref="B116:C116"/>
    <mergeCell ref="E239:E241"/>
    <mergeCell ref="E242:E244"/>
    <mergeCell ref="A194:A196"/>
    <mergeCell ref="A149:A151"/>
    <mergeCell ref="A156:A159"/>
    <mergeCell ref="A162:A164"/>
    <mergeCell ref="A188:A190"/>
    <mergeCell ref="E233:E235"/>
    <mergeCell ref="A10:B10"/>
    <mergeCell ref="A11:B11"/>
    <mergeCell ref="A12:B12"/>
    <mergeCell ref="C12:C13"/>
    <mergeCell ref="C8:C10"/>
    <mergeCell ref="A9:B9"/>
    <mergeCell ref="C5:C7"/>
    <mergeCell ref="B299:B304"/>
    <mergeCell ref="B308:B313"/>
    <mergeCell ref="B248:E248"/>
    <mergeCell ref="B317:B322"/>
    <mergeCell ref="D269:I269"/>
    <mergeCell ref="B271:B276"/>
    <mergeCell ref="D279:I279"/>
    <mergeCell ref="D306:I306"/>
    <mergeCell ref="D315:I315"/>
    <mergeCell ref="G200:J200"/>
    <mergeCell ref="C200:F200"/>
    <mergeCell ref="C214:F214"/>
    <mergeCell ref="G214:J214"/>
    <mergeCell ref="B290:B295"/>
    <mergeCell ref="D288:I288"/>
    <mergeCell ref="E236:E238"/>
    <mergeCell ref="O92:P92"/>
    <mergeCell ref="D92:E92"/>
    <mergeCell ref="A24:B24"/>
    <mergeCell ref="A25:B25"/>
    <mergeCell ref="B84:C84"/>
    <mergeCell ref="D84:E84"/>
    <mergeCell ref="B91:C91"/>
    <mergeCell ref="D91:E91"/>
    <mergeCell ref="A28:B28"/>
    <mergeCell ref="E28:F28"/>
    <mergeCell ref="A78:B78"/>
    <mergeCell ref="C78:D78"/>
    <mergeCell ref="F92:G92"/>
    <mergeCell ref="A4:B4"/>
    <mergeCell ref="A6:B6"/>
    <mergeCell ref="A7:B7"/>
    <mergeCell ref="A8:B8"/>
    <mergeCell ref="A5:B5"/>
    <mergeCell ref="A352:C352"/>
    <mergeCell ref="B342:C342"/>
    <mergeCell ref="A22:B22"/>
    <mergeCell ref="A23:B23"/>
    <mergeCell ref="A13:B13"/>
    <mergeCell ref="A19:B19"/>
    <mergeCell ref="A20:B20"/>
    <mergeCell ref="A21:B21"/>
    <mergeCell ref="A18:B18"/>
    <mergeCell ref="A14:B14"/>
    <mergeCell ref="A15:B15"/>
    <mergeCell ref="B92:C92"/>
    <mergeCell ref="A143:A146"/>
    <mergeCell ref="A239:A244"/>
    <mergeCell ref="B281:B286"/>
    <mergeCell ref="A16:B16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73"/>
  <sheetViews>
    <sheetView topLeftCell="A163" workbookViewId="0">
      <selection activeCell="A212" sqref="A212"/>
    </sheetView>
  </sheetViews>
  <sheetFormatPr defaultRowHeight="15"/>
  <cols>
    <col min="1" max="1" width="29.140625" style="10" customWidth="1"/>
    <col min="2" max="2" width="11.42578125" style="10" customWidth="1"/>
    <col min="3" max="3" width="9.140625" style="11"/>
    <col min="4" max="4" width="16.85546875" customWidth="1"/>
    <col min="5" max="5" width="20.85546875" customWidth="1"/>
    <col min="7" max="7" width="9.140625" customWidth="1"/>
    <col min="8" max="8" width="21.5703125" customWidth="1"/>
    <col min="9" max="9" width="13.85546875" bestFit="1" customWidth="1"/>
    <col min="11" max="11" width="7.140625" customWidth="1"/>
    <col min="12" max="12" width="11.42578125" bestFit="1" customWidth="1"/>
    <col min="13" max="13" width="22.140625" customWidth="1"/>
    <col min="15" max="15" width="7.140625" customWidth="1"/>
    <col min="16" max="16" width="11.7109375" bestFit="1" customWidth="1"/>
    <col min="17" max="17" width="22.140625" customWidth="1"/>
  </cols>
  <sheetData>
    <row r="1" spans="1:13" ht="28.5">
      <c r="A1" s="9" t="s">
        <v>0</v>
      </c>
      <c r="B1" s="9" t="s">
        <v>225</v>
      </c>
    </row>
    <row r="3" spans="1:13" ht="15.75" thickBot="1">
      <c r="A3" t="s">
        <v>17</v>
      </c>
    </row>
    <row r="4" spans="1:13" ht="15.75" thickBot="1">
      <c r="A4" s="412" t="s">
        <v>1</v>
      </c>
      <c r="B4" s="413"/>
      <c r="C4" s="301" t="s">
        <v>4</v>
      </c>
      <c r="D4" s="1" t="s">
        <v>2</v>
      </c>
      <c r="E4" s="6" t="s">
        <v>3</v>
      </c>
    </row>
    <row r="5" spans="1:13">
      <c r="A5" s="414" t="s">
        <v>14</v>
      </c>
      <c r="B5" s="415"/>
      <c r="C5" s="13"/>
      <c r="D5" s="8" t="s">
        <v>226</v>
      </c>
      <c r="E5" s="2" t="s">
        <v>229</v>
      </c>
      <c r="I5" s="17"/>
      <c r="J5" s="17"/>
      <c r="K5" s="17"/>
      <c r="L5" s="17"/>
    </row>
    <row r="6" spans="1:13">
      <c r="A6" s="406" t="s">
        <v>15</v>
      </c>
      <c r="B6" s="407"/>
      <c r="C6" s="12"/>
      <c r="D6" s="3" t="s">
        <v>227</v>
      </c>
      <c r="E6" s="2" t="s">
        <v>230</v>
      </c>
      <c r="I6" s="17"/>
      <c r="J6" s="302"/>
      <c r="K6" s="302"/>
      <c r="L6" s="17"/>
    </row>
    <row r="7" spans="1:13">
      <c r="A7" s="406" t="s">
        <v>16</v>
      </c>
      <c r="B7" s="407"/>
      <c r="C7" s="12"/>
      <c r="D7" s="3" t="s">
        <v>228</v>
      </c>
      <c r="E7" s="2" t="s">
        <v>231</v>
      </c>
      <c r="I7" s="17"/>
      <c r="J7" s="302"/>
      <c r="K7" s="302"/>
      <c r="L7" s="17"/>
    </row>
    <row r="8" spans="1:13">
      <c r="A8" s="418" t="s">
        <v>234</v>
      </c>
      <c r="B8" s="411"/>
      <c r="C8" s="12"/>
      <c r="D8" s="3" t="s">
        <v>232</v>
      </c>
      <c r="E8" s="2" t="s">
        <v>235</v>
      </c>
      <c r="I8" s="17"/>
      <c r="J8" s="302"/>
      <c r="K8" s="302"/>
      <c r="L8" s="17"/>
    </row>
    <row r="9" spans="1:13">
      <c r="A9" s="418" t="s">
        <v>234</v>
      </c>
      <c r="B9" s="411"/>
      <c r="C9" s="12"/>
      <c r="D9" s="3" t="s">
        <v>232</v>
      </c>
      <c r="E9" s="2" t="s">
        <v>236</v>
      </c>
      <c r="I9" s="17"/>
      <c r="J9" s="17"/>
      <c r="K9" s="17"/>
      <c r="L9" s="17"/>
    </row>
    <row r="10" spans="1:13">
      <c r="A10" s="410" t="s">
        <v>5</v>
      </c>
      <c r="B10" s="411"/>
      <c r="C10" s="12"/>
      <c r="D10" s="3" t="s">
        <v>232</v>
      </c>
      <c r="E10" s="2" t="s">
        <v>237</v>
      </c>
      <c r="I10" s="17"/>
      <c r="J10" s="17"/>
      <c r="K10" s="17"/>
      <c r="L10" s="17"/>
    </row>
    <row r="11" spans="1:13">
      <c r="A11" s="408" t="s">
        <v>6</v>
      </c>
      <c r="B11" s="409"/>
      <c r="C11" s="3"/>
      <c r="D11" s="21" t="s">
        <v>238</v>
      </c>
      <c r="E11" s="300" t="s">
        <v>239</v>
      </c>
      <c r="H11" s="17"/>
      <c r="I11" s="17"/>
      <c r="J11" s="17"/>
      <c r="K11" s="17"/>
      <c r="L11" s="16"/>
      <c r="M11" s="16"/>
    </row>
    <row r="12" spans="1:13">
      <c r="A12" s="408"/>
      <c r="B12" s="409"/>
      <c r="C12" s="12"/>
      <c r="D12" s="21" t="s">
        <v>238</v>
      </c>
      <c r="E12" s="124" t="s">
        <v>240</v>
      </c>
      <c r="H12" s="17"/>
      <c r="I12" s="17"/>
      <c r="J12" s="17"/>
      <c r="K12" s="17"/>
      <c r="L12" s="16"/>
      <c r="M12" s="16"/>
    </row>
    <row r="13" spans="1:13">
      <c r="A13" s="410" t="s">
        <v>7</v>
      </c>
      <c r="B13" s="411"/>
      <c r="C13" s="12"/>
      <c r="D13" s="21" t="s">
        <v>245</v>
      </c>
      <c r="E13" s="124" t="s">
        <v>241</v>
      </c>
      <c r="H13" s="18"/>
      <c r="I13" s="17"/>
      <c r="J13" s="17"/>
      <c r="K13" s="17"/>
      <c r="L13" s="16"/>
      <c r="M13" s="16"/>
    </row>
    <row r="14" spans="1:13">
      <c r="A14" s="410" t="s">
        <v>11</v>
      </c>
      <c r="B14" s="411"/>
      <c r="C14" s="12"/>
      <c r="D14" s="21" t="s">
        <v>233</v>
      </c>
      <c r="E14" s="124" t="s">
        <v>242</v>
      </c>
      <c r="H14" s="18"/>
      <c r="I14" s="17"/>
      <c r="J14" s="17"/>
      <c r="K14" s="17"/>
      <c r="L14" s="17"/>
      <c r="M14" s="17"/>
    </row>
    <row r="15" spans="1:13">
      <c r="A15" s="410" t="s">
        <v>12</v>
      </c>
      <c r="B15" s="411"/>
      <c r="C15" s="12"/>
      <c r="D15" s="21" t="s">
        <v>233</v>
      </c>
      <c r="E15" s="124" t="s">
        <v>243</v>
      </c>
      <c r="H15" s="18"/>
      <c r="I15" s="17"/>
      <c r="J15" s="17"/>
      <c r="K15" s="17"/>
      <c r="L15" s="17"/>
      <c r="M15" s="17"/>
    </row>
    <row r="16" spans="1:13">
      <c r="A16" s="410" t="s">
        <v>13</v>
      </c>
      <c r="B16" s="411"/>
      <c r="C16" s="12"/>
      <c r="D16" s="21" t="s">
        <v>233</v>
      </c>
      <c r="E16" s="124" t="s">
        <v>244</v>
      </c>
    </row>
    <row r="17" spans="1:10">
      <c r="A17" s="410" t="s">
        <v>5</v>
      </c>
      <c r="B17" s="411"/>
      <c r="C17" s="12"/>
      <c r="D17" s="21" t="s">
        <v>246</v>
      </c>
      <c r="E17" s="124" t="s">
        <v>251</v>
      </c>
    </row>
    <row r="18" spans="1:10">
      <c r="A18" s="406" t="s">
        <v>8</v>
      </c>
      <c r="B18" s="407"/>
      <c r="C18" s="14"/>
      <c r="D18" s="21" t="s">
        <v>250</v>
      </c>
      <c r="E18" s="124" t="s">
        <v>247</v>
      </c>
    </row>
    <row r="19" spans="1:10">
      <c r="A19" s="406" t="s">
        <v>9</v>
      </c>
      <c r="B19" s="407"/>
      <c r="C19" s="14"/>
      <c r="D19" s="21" t="s">
        <v>250</v>
      </c>
      <c r="E19" s="124" t="s">
        <v>248</v>
      </c>
    </row>
    <row r="20" spans="1:10" ht="15.75" thickBot="1">
      <c r="A20" s="416" t="s">
        <v>10</v>
      </c>
      <c r="B20" s="417"/>
      <c r="C20" s="15"/>
      <c r="D20" s="22" t="s">
        <v>250</v>
      </c>
      <c r="E20" s="125" t="s">
        <v>249</v>
      </c>
      <c r="I20" t="s">
        <v>221</v>
      </c>
    </row>
    <row r="21" spans="1:10" ht="15.75" thickBot="1"/>
    <row r="22" spans="1:10" ht="15.75" thickBot="1">
      <c r="H22" s="158" t="s">
        <v>18</v>
      </c>
      <c r="I22" s="158" t="s">
        <v>193</v>
      </c>
      <c r="J22" s="158" t="s">
        <v>113</v>
      </c>
    </row>
    <row r="23" spans="1:10" ht="15.75" thickBot="1">
      <c r="A23" s="393" t="s">
        <v>34</v>
      </c>
      <c r="B23" s="393"/>
      <c r="E23" s="393" t="s">
        <v>35</v>
      </c>
      <c r="F23" s="393"/>
      <c r="H23" s="94" t="s">
        <v>181</v>
      </c>
      <c r="I23" s="94" t="s">
        <v>123</v>
      </c>
      <c r="J23" s="94">
        <v>7.5</v>
      </c>
    </row>
    <row r="24" spans="1:10" ht="15.75" thickBot="1">
      <c r="A24" s="177" t="s">
        <v>18</v>
      </c>
      <c r="B24" s="25" t="s">
        <v>19</v>
      </c>
      <c r="E24" s="177" t="s">
        <v>18</v>
      </c>
      <c r="F24" s="25" t="s">
        <v>19</v>
      </c>
      <c r="H24" s="105" t="s">
        <v>182</v>
      </c>
      <c r="I24" s="105" t="s">
        <v>115</v>
      </c>
      <c r="J24" s="105">
        <v>11.3</v>
      </c>
    </row>
    <row r="25" spans="1:10" ht="15.75">
      <c r="A25" s="192" t="s">
        <v>49</v>
      </c>
      <c r="B25" s="193" t="s">
        <v>153</v>
      </c>
      <c r="E25" s="190" t="s">
        <v>55</v>
      </c>
      <c r="F25" s="195" t="s">
        <v>159</v>
      </c>
      <c r="H25" s="105" t="s">
        <v>183</v>
      </c>
      <c r="I25" s="105" t="s">
        <v>116</v>
      </c>
      <c r="J25" s="105">
        <v>11.1</v>
      </c>
    </row>
    <row r="26" spans="1:10" ht="16.5" thickBot="1">
      <c r="A26" s="194" t="s">
        <v>50</v>
      </c>
      <c r="B26" s="195" t="s">
        <v>154</v>
      </c>
      <c r="E26" s="190" t="s">
        <v>56</v>
      </c>
      <c r="F26" s="195" t="s">
        <v>160</v>
      </c>
      <c r="H26" s="95" t="s">
        <v>184</v>
      </c>
      <c r="I26" s="95" t="s">
        <v>117</v>
      </c>
      <c r="J26" s="95">
        <v>7.5</v>
      </c>
    </row>
    <row r="27" spans="1:10" ht="15.75">
      <c r="A27" s="194" t="s">
        <v>51</v>
      </c>
      <c r="B27" s="195" t="s">
        <v>155</v>
      </c>
      <c r="E27" s="190" t="s">
        <v>57</v>
      </c>
      <c r="F27" s="195" t="s">
        <v>161</v>
      </c>
      <c r="H27" s="94" t="s">
        <v>185</v>
      </c>
      <c r="I27" s="94" t="s">
        <v>114</v>
      </c>
      <c r="J27" s="94">
        <v>7.4</v>
      </c>
    </row>
    <row r="28" spans="1:10" ht="15.75">
      <c r="A28" s="194" t="s">
        <v>52</v>
      </c>
      <c r="B28" s="195" t="s">
        <v>156</v>
      </c>
      <c r="E28" s="190" t="s">
        <v>58</v>
      </c>
      <c r="F28" s="195" t="s">
        <v>162</v>
      </c>
      <c r="H28" s="105" t="s">
        <v>186</v>
      </c>
      <c r="I28" s="105" t="s">
        <v>118</v>
      </c>
      <c r="J28" s="105">
        <v>11.1</v>
      </c>
    </row>
    <row r="29" spans="1:10" ht="15.75">
      <c r="A29" s="194" t="s">
        <v>53</v>
      </c>
      <c r="B29" s="195" t="s">
        <v>157</v>
      </c>
      <c r="E29" s="190" t="s">
        <v>59</v>
      </c>
      <c r="F29" s="195" t="s">
        <v>163</v>
      </c>
      <c r="H29" s="105" t="s">
        <v>187</v>
      </c>
      <c r="I29" s="105" t="s">
        <v>119</v>
      </c>
      <c r="J29" s="105">
        <v>11.1</v>
      </c>
    </row>
    <row r="30" spans="1:10" ht="16.5" thickBot="1">
      <c r="A30" s="196" t="s">
        <v>54</v>
      </c>
      <c r="B30" s="197" t="s">
        <v>158</v>
      </c>
      <c r="E30" s="191" t="s">
        <v>60</v>
      </c>
      <c r="F30" s="197" t="s">
        <v>164</v>
      </c>
      <c r="H30" s="95" t="s">
        <v>188</v>
      </c>
      <c r="I30" s="95" t="s">
        <v>114</v>
      </c>
      <c r="J30" s="95">
        <v>7.4</v>
      </c>
    </row>
    <row r="31" spans="1:10">
      <c r="A31"/>
      <c r="B31"/>
      <c r="C31"/>
      <c r="H31" s="96" t="s">
        <v>189</v>
      </c>
      <c r="I31" s="96" t="s">
        <v>124</v>
      </c>
      <c r="J31" s="96"/>
    </row>
    <row r="32" spans="1:10" ht="18">
      <c r="A32" s="30" t="s">
        <v>26</v>
      </c>
      <c r="B32"/>
      <c r="C32"/>
      <c r="H32" s="105" t="s">
        <v>190</v>
      </c>
      <c r="I32" s="105" t="s">
        <v>121</v>
      </c>
      <c r="J32" s="105"/>
    </row>
    <row r="33" spans="1:10" ht="15.75" thickBot="1">
      <c r="A33"/>
      <c r="B33"/>
      <c r="C33"/>
      <c r="H33" s="105" t="s">
        <v>191</v>
      </c>
      <c r="I33" s="105" t="s">
        <v>122</v>
      </c>
      <c r="J33" s="105"/>
    </row>
    <row r="34" spans="1:10" ht="15.75" thickBot="1">
      <c r="A34" s="177" t="s">
        <v>111</v>
      </c>
      <c r="B34" s="31" t="s">
        <v>27</v>
      </c>
      <c r="C34" s="25" t="s">
        <v>28</v>
      </c>
      <c r="D34" s="25" t="s">
        <v>29</v>
      </c>
      <c r="H34" s="95" t="s">
        <v>192</v>
      </c>
      <c r="I34" s="95" t="s">
        <v>120</v>
      </c>
      <c r="J34" s="95"/>
    </row>
    <row r="35" spans="1:10">
      <c r="A35" s="26" t="s">
        <v>20</v>
      </c>
      <c r="B35" s="20">
        <v>12949</v>
      </c>
      <c r="C35" s="32"/>
      <c r="D35" s="33"/>
    </row>
    <row r="36" spans="1:10">
      <c r="A36" s="28" t="s">
        <v>21</v>
      </c>
      <c r="B36" s="21">
        <v>12943</v>
      </c>
      <c r="C36" s="34"/>
      <c r="D36" s="35"/>
    </row>
    <row r="37" spans="1:10">
      <c r="A37" s="28" t="s">
        <v>22</v>
      </c>
      <c r="B37" s="21">
        <v>12952</v>
      </c>
      <c r="C37" s="34"/>
      <c r="D37" s="35"/>
    </row>
    <row r="38" spans="1:10">
      <c r="A38" s="28" t="s">
        <v>23</v>
      </c>
      <c r="B38" s="21">
        <v>12956</v>
      </c>
      <c r="C38" s="34"/>
      <c r="D38" s="35"/>
    </row>
    <row r="39" spans="1:10">
      <c r="A39" s="28" t="s">
        <v>24</v>
      </c>
      <c r="B39" s="21">
        <v>12959</v>
      </c>
      <c r="C39" s="34"/>
      <c r="D39" s="35"/>
      <c r="F39" s="101"/>
    </row>
    <row r="40" spans="1:10" ht="15.75" thickBot="1">
      <c r="A40" s="29" t="s">
        <v>25</v>
      </c>
      <c r="B40" s="22">
        <v>12910</v>
      </c>
      <c r="C40" s="36"/>
      <c r="D40" s="37"/>
      <c r="F40" s="101"/>
    </row>
    <row r="41" spans="1:10">
      <c r="A41" s="176"/>
      <c r="B41" s="45"/>
      <c r="C41" s="46"/>
      <c r="D41" s="47"/>
    </row>
    <row r="42" spans="1:10" ht="15.75" thickBot="1"/>
    <row r="43" spans="1:10" ht="15.75" thickBot="1">
      <c r="A43" s="177" t="s">
        <v>112</v>
      </c>
      <c r="B43" s="31" t="s">
        <v>27</v>
      </c>
      <c r="C43" s="25" t="s">
        <v>28</v>
      </c>
      <c r="D43" s="25" t="s">
        <v>29</v>
      </c>
    </row>
    <row r="44" spans="1:10">
      <c r="A44" s="26" t="s">
        <v>20</v>
      </c>
      <c r="B44" s="20">
        <v>12953</v>
      </c>
      <c r="C44" s="32"/>
      <c r="D44" s="33"/>
    </row>
    <row r="45" spans="1:10">
      <c r="A45" s="28" t="s">
        <v>21</v>
      </c>
      <c r="B45" s="21">
        <v>12940</v>
      </c>
      <c r="C45" s="34"/>
      <c r="D45" s="35"/>
    </row>
    <row r="46" spans="1:10">
      <c r="A46" s="28" t="s">
        <v>22</v>
      </c>
      <c r="B46" s="21">
        <v>12938</v>
      </c>
      <c r="C46" s="34"/>
      <c r="D46" s="35"/>
    </row>
    <row r="47" spans="1:10">
      <c r="A47" s="28" t="s">
        <v>23</v>
      </c>
      <c r="B47" s="21">
        <v>12939</v>
      </c>
      <c r="C47" s="34"/>
      <c r="D47" s="35"/>
    </row>
    <row r="48" spans="1:10">
      <c r="A48" s="28" t="s">
        <v>24</v>
      </c>
      <c r="B48" s="21">
        <v>12950</v>
      </c>
      <c r="C48" s="34"/>
      <c r="D48" s="35"/>
    </row>
    <row r="49" spans="1:14" ht="15.75" thickBot="1">
      <c r="A49" s="29" t="s">
        <v>25</v>
      </c>
      <c r="B49" s="22">
        <v>12960</v>
      </c>
      <c r="C49" s="36"/>
      <c r="D49" s="37"/>
    </row>
    <row r="50" spans="1:14">
      <c r="A50" s="176"/>
      <c r="B50" s="45"/>
      <c r="C50" s="46"/>
      <c r="D50" s="47"/>
    </row>
    <row r="51" spans="1:14" ht="15.75" thickBot="1">
      <c r="A51"/>
      <c r="B51"/>
      <c r="C51"/>
    </row>
    <row r="52" spans="1:14" ht="16.5" thickBot="1">
      <c r="A52" s="177" t="s">
        <v>30</v>
      </c>
      <c r="B52" s="177" t="s">
        <v>31</v>
      </c>
      <c r="C52" s="38" t="s">
        <v>32</v>
      </c>
      <c r="D52" s="39" t="s">
        <v>33</v>
      </c>
      <c r="I52" s="180"/>
      <c r="J52" s="180"/>
      <c r="K52" s="181"/>
      <c r="L52" s="182"/>
      <c r="M52" s="183"/>
      <c r="N52" s="183"/>
    </row>
    <row r="53" spans="1:14">
      <c r="A53" s="26" t="s">
        <v>20</v>
      </c>
      <c r="B53" s="40" t="s">
        <v>144</v>
      </c>
      <c r="C53" s="41"/>
      <c r="D53" s="20"/>
      <c r="I53" s="184"/>
      <c r="J53" s="184"/>
      <c r="K53" s="185"/>
      <c r="L53" s="186"/>
      <c r="M53" s="187"/>
      <c r="N53" s="187"/>
    </row>
    <row r="54" spans="1:14">
      <c r="A54" s="28" t="s">
        <v>21</v>
      </c>
      <c r="B54" s="42" t="s">
        <v>144</v>
      </c>
      <c r="C54" s="42"/>
      <c r="D54" s="21"/>
      <c r="I54" s="184"/>
      <c r="J54" s="184"/>
      <c r="K54" s="185"/>
      <c r="L54" s="186"/>
      <c r="M54" s="187"/>
      <c r="N54" s="187"/>
    </row>
    <row r="55" spans="1:14">
      <c r="A55" s="28" t="s">
        <v>22</v>
      </c>
      <c r="B55" s="42" t="s">
        <v>144</v>
      </c>
      <c r="C55" s="42"/>
      <c r="D55" s="21"/>
      <c r="I55" s="184"/>
      <c r="J55" s="184"/>
      <c r="K55" s="185"/>
      <c r="L55" s="186"/>
      <c r="M55" s="187"/>
      <c r="N55" s="187"/>
    </row>
    <row r="56" spans="1:14">
      <c r="A56" s="28" t="s">
        <v>23</v>
      </c>
      <c r="B56" s="42">
        <v>76</v>
      </c>
      <c r="C56" s="42"/>
      <c r="D56" s="21"/>
      <c r="I56" s="184"/>
      <c r="J56" s="184"/>
      <c r="K56" s="185"/>
      <c r="L56" s="186"/>
      <c r="M56" s="187"/>
      <c r="N56" s="187"/>
    </row>
    <row r="57" spans="1:14">
      <c r="A57" s="28" t="s">
        <v>24</v>
      </c>
      <c r="B57" s="42">
        <v>84</v>
      </c>
      <c r="C57" s="42"/>
      <c r="D57" s="21"/>
      <c r="I57" s="184"/>
      <c r="J57" s="184"/>
      <c r="K57" s="185"/>
      <c r="L57" s="186"/>
      <c r="M57" s="187"/>
      <c r="N57" s="187"/>
    </row>
    <row r="58" spans="1:14" ht="15.75" thickBot="1">
      <c r="A58" s="29" t="s">
        <v>25</v>
      </c>
      <c r="B58" s="43">
        <v>98</v>
      </c>
      <c r="C58" s="43"/>
      <c r="D58" s="22"/>
      <c r="I58" s="184"/>
      <c r="J58" s="184"/>
      <c r="K58" s="185"/>
      <c r="L58" s="186"/>
      <c r="M58" s="187"/>
      <c r="N58" s="187"/>
    </row>
    <row r="59" spans="1:14" ht="15.75" thickBot="1">
      <c r="I59" s="188"/>
      <c r="J59" s="188"/>
      <c r="K59" s="188"/>
      <c r="L59" s="188"/>
      <c r="M59" s="188"/>
      <c r="N59" s="188"/>
    </row>
    <row r="60" spans="1:14" ht="15.75" thickBot="1">
      <c r="A60" s="177" t="s">
        <v>36</v>
      </c>
      <c r="B60" s="177" t="s">
        <v>31</v>
      </c>
      <c r="C60" s="38" t="s">
        <v>32</v>
      </c>
      <c r="D60" s="39" t="s">
        <v>33</v>
      </c>
      <c r="G60" s="188"/>
      <c r="H60" s="184"/>
      <c r="I60" s="184"/>
      <c r="J60" s="189"/>
      <c r="K60" s="186"/>
      <c r="L60" s="187"/>
      <c r="M60" s="187"/>
    </row>
    <row r="61" spans="1:14">
      <c r="A61" s="26" t="s">
        <v>20</v>
      </c>
      <c r="B61" s="40"/>
      <c r="C61" s="41"/>
      <c r="D61" s="20"/>
      <c r="G61" s="188"/>
      <c r="H61" s="184"/>
      <c r="I61" s="184"/>
      <c r="J61" s="185"/>
      <c r="K61" s="186"/>
      <c r="L61" s="187"/>
      <c r="M61" s="187"/>
    </row>
    <row r="62" spans="1:14">
      <c r="A62" s="28" t="s">
        <v>21</v>
      </c>
      <c r="B62" s="42">
        <v>152</v>
      </c>
      <c r="C62" s="42"/>
      <c r="D62" s="21"/>
      <c r="G62" s="188"/>
      <c r="H62" s="184"/>
      <c r="I62" s="184"/>
      <c r="J62" s="185"/>
      <c r="K62" s="186"/>
      <c r="L62" s="187"/>
      <c r="M62" s="187"/>
    </row>
    <row r="63" spans="1:14">
      <c r="A63" s="28" t="s">
        <v>22</v>
      </c>
      <c r="B63" s="42">
        <v>150</v>
      </c>
      <c r="C63" s="42"/>
      <c r="D63" s="21"/>
      <c r="G63" s="188"/>
      <c r="H63" s="184"/>
      <c r="I63" s="184"/>
      <c r="J63" s="185"/>
      <c r="K63" s="186"/>
      <c r="L63" s="187"/>
      <c r="M63" s="187"/>
    </row>
    <row r="64" spans="1:14">
      <c r="A64" s="28" t="s">
        <v>23</v>
      </c>
      <c r="B64" s="42">
        <v>155</v>
      </c>
      <c r="C64" s="42"/>
      <c r="D64" s="21"/>
      <c r="G64" s="188"/>
      <c r="H64" s="184"/>
      <c r="I64" s="184"/>
      <c r="J64" s="185"/>
      <c r="K64" s="186"/>
      <c r="L64" s="187"/>
      <c r="M64" s="187"/>
    </row>
    <row r="65" spans="1:13">
      <c r="A65" s="28" t="s">
        <v>24</v>
      </c>
      <c r="B65" s="42">
        <v>151</v>
      </c>
      <c r="C65" s="42"/>
      <c r="D65" s="21"/>
      <c r="G65" s="188"/>
      <c r="H65" s="184"/>
      <c r="I65" s="184"/>
      <c r="J65" s="185"/>
      <c r="K65" s="186"/>
      <c r="L65" s="187"/>
      <c r="M65" s="187"/>
    </row>
    <row r="66" spans="1:13" ht="15.75" thickBot="1">
      <c r="A66" s="29" t="s">
        <v>25</v>
      </c>
      <c r="B66" s="43">
        <v>153</v>
      </c>
      <c r="C66" s="43"/>
      <c r="D66" s="22"/>
      <c r="G66" s="188"/>
      <c r="H66" s="188"/>
      <c r="I66" s="188"/>
      <c r="J66" s="188"/>
      <c r="K66" s="188"/>
      <c r="L66" s="188"/>
      <c r="M66" s="188"/>
    </row>
    <row r="67" spans="1:13" ht="15.75" thickBot="1"/>
    <row r="68" spans="1:13" ht="15.75" thickBot="1">
      <c r="A68" s="177" t="s">
        <v>90</v>
      </c>
      <c r="B68" s="177" t="s">
        <v>31</v>
      </c>
      <c r="C68" s="38" t="s">
        <v>32</v>
      </c>
      <c r="D68" s="39" t="s">
        <v>33</v>
      </c>
    </row>
    <row r="69" spans="1:13">
      <c r="A69" s="48">
        <v>1</v>
      </c>
      <c r="B69" s="41"/>
      <c r="C69" s="41"/>
      <c r="D69" s="20"/>
    </row>
    <row r="70" spans="1:13">
      <c r="A70" s="28">
        <v>2</v>
      </c>
      <c r="B70" s="42"/>
      <c r="C70" s="42"/>
      <c r="D70" s="21"/>
    </row>
    <row r="71" spans="1:13" ht="15.75" thickBot="1">
      <c r="A71" s="29">
        <v>3</v>
      </c>
      <c r="B71" s="43"/>
      <c r="C71" s="43"/>
      <c r="D71" s="22"/>
    </row>
    <row r="72" spans="1:13" ht="15.75" thickBot="1"/>
    <row r="73" spans="1:13" ht="15.75" thickBot="1">
      <c r="A73" s="368" t="s">
        <v>203</v>
      </c>
      <c r="B73" s="370"/>
      <c r="C73" s="368" t="s">
        <v>204</v>
      </c>
      <c r="D73" s="370"/>
    </row>
    <row r="74" spans="1:13" ht="15.75" thickBot="1">
      <c r="A74" s="177" t="s">
        <v>37</v>
      </c>
      <c r="B74" s="25" t="s">
        <v>38</v>
      </c>
      <c r="C74" s="177" t="s">
        <v>37</v>
      </c>
      <c r="D74" s="25" t="s">
        <v>38</v>
      </c>
    </row>
    <row r="75" spans="1:13">
      <c r="A75" s="166" t="s">
        <v>200</v>
      </c>
      <c r="B75" s="20" t="s">
        <v>205</v>
      </c>
      <c r="C75" s="166" t="s">
        <v>200</v>
      </c>
      <c r="D75" s="20" t="s">
        <v>207</v>
      </c>
    </row>
    <row r="76" spans="1:13">
      <c r="A76" s="49" t="s">
        <v>201</v>
      </c>
      <c r="B76" s="21" t="s">
        <v>206</v>
      </c>
      <c r="C76" s="49" t="s">
        <v>201</v>
      </c>
      <c r="D76" s="21" t="s">
        <v>208</v>
      </c>
      <c r="F76" t="s">
        <v>222</v>
      </c>
    </row>
    <row r="77" spans="1:13" ht="15.75" thickBot="1">
      <c r="A77" s="50" t="s">
        <v>202</v>
      </c>
      <c r="B77" s="22" t="s">
        <v>205</v>
      </c>
      <c r="C77" s="50" t="s">
        <v>202</v>
      </c>
      <c r="D77" s="22" t="s">
        <v>209</v>
      </c>
    </row>
    <row r="78" spans="1:13" ht="15.75" thickBot="1"/>
    <row r="79" spans="1:13" ht="15.75" thickBot="1">
      <c r="B79" s="368" t="s">
        <v>34</v>
      </c>
      <c r="C79" s="370"/>
      <c r="D79" s="368" t="s">
        <v>35</v>
      </c>
      <c r="E79" s="370"/>
    </row>
    <row r="80" spans="1:13" ht="15.75" thickBot="1">
      <c r="A80" s="177" t="s">
        <v>42</v>
      </c>
      <c r="B80" s="25" t="s">
        <v>43</v>
      </c>
      <c r="C80" s="25" t="s">
        <v>44</v>
      </c>
      <c r="D80" s="25" t="s">
        <v>43</v>
      </c>
      <c r="E80" s="25" t="s">
        <v>44</v>
      </c>
    </row>
    <row r="81" spans="1:17">
      <c r="A81" s="26" t="s">
        <v>39</v>
      </c>
      <c r="B81" s="27"/>
      <c r="C81" s="27"/>
      <c r="D81" s="27"/>
      <c r="E81" s="27"/>
    </row>
    <row r="82" spans="1:17">
      <c r="A82" s="28" t="s">
        <v>40</v>
      </c>
      <c r="B82" s="21"/>
      <c r="C82" s="21"/>
      <c r="D82" s="21"/>
      <c r="E82" s="21"/>
    </row>
    <row r="83" spans="1:17" ht="15.75" thickBot="1">
      <c r="A83" s="29" t="s">
        <v>41</v>
      </c>
      <c r="B83" s="22"/>
      <c r="C83" s="22"/>
      <c r="D83" s="22"/>
      <c r="E83" s="22"/>
    </row>
    <row r="86" spans="1:17" ht="15.75" thickBot="1">
      <c r="A86" s="201">
        <v>40716</v>
      </c>
      <c r="B86" s="389"/>
      <c r="C86" s="389"/>
      <c r="D86" s="392"/>
      <c r="E86" s="392"/>
    </row>
    <row r="87" spans="1:17" ht="15.75" thickBot="1">
      <c r="A87" s="176"/>
      <c r="B87" s="381" t="s">
        <v>45</v>
      </c>
      <c r="C87" s="382"/>
      <c r="D87" s="390" t="s">
        <v>61</v>
      </c>
      <c r="E87" s="391"/>
      <c r="F87" s="419" t="s">
        <v>67</v>
      </c>
      <c r="G87" s="393"/>
      <c r="N87" s="17"/>
      <c r="O87" s="389"/>
      <c r="P87" s="389"/>
      <c r="Q87" s="17"/>
    </row>
    <row r="88" spans="1:17" ht="15.75" thickBot="1">
      <c r="A88" s="25" t="s">
        <v>46</v>
      </c>
      <c r="B88" s="38" t="s">
        <v>47</v>
      </c>
      <c r="C88" s="38" t="s">
        <v>48</v>
      </c>
      <c r="D88" s="25" t="s">
        <v>47</v>
      </c>
      <c r="E88" s="177" t="s">
        <v>48</v>
      </c>
      <c r="F88" s="38" t="s">
        <v>47</v>
      </c>
      <c r="G88" s="168" t="s">
        <v>141</v>
      </c>
      <c r="N88" s="17"/>
      <c r="O88" s="17"/>
      <c r="P88" s="17"/>
      <c r="Q88" s="17"/>
    </row>
    <row r="89" spans="1:17">
      <c r="A89" s="48" t="s">
        <v>49</v>
      </c>
      <c r="B89" s="67">
        <v>-51.307359600905301</v>
      </c>
      <c r="C89" s="67">
        <v>3.79478391281897</v>
      </c>
      <c r="D89" s="54">
        <v>-135.483119632117</v>
      </c>
      <c r="E89" s="83">
        <v>8.9304995763479003</v>
      </c>
      <c r="F89" s="67">
        <f>B89-D89</f>
        <v>84.175760031211695</v>
      </c>
      <c r="G89" s="80">
        <f>F89/840</f>
        <v>0.10020923813239488</v>
      </c>
      <c r="N89" s="17"/>
      <c r="O89" s="17"/>
      <c r="P89" s="17"/>
      <c r="Q89" s="17"/>
    </row>
    <row r="90" spans="1:17">
      <c r="A90" s="28" t="s">
        <v>50</v>
      </c>
      <c r="B90" s="68">
        <v>-830.74709095060803</v>
      </c>
      <c r="C90" s="68">
        <v>3.8769155537730202</v>
      </c>
      <c r="D90" s="55">
        <v>-415.56422609090799</v>
      </c>
      <c r="E90" s="84">
        <v>9.1031229626359398</v>
      </c>
      <c r="F90" s="68">
        <f t="shared" ref="F90:F100" si="0">B90-D90</f>
        <v>-415.18286485970003</v>
      </c>
      <c r="G90" s="4">
        <f t="shared" ref="G90:G94" si="1">F90/840</f>
        <v>-0.49426531530916673</v>
      </c>
      <c r="N90" s="17"/>
      <c r="O90" s="17"/>
      <c r="P90" s="17"/>
      <c r="Q90" s="17"/>
    </row>
    <row r="91" spans="1:17">
      <c r="A91" s="28" t="s">
        <v>51</v>
      </c>
      <c r="B91" s="68">
        <v>-85.043578805401907</v>
      </c>
      <c r="C91" s="68">
        <v>5.0374490595766002</v>
      </c>
      <c r="D91" s="55">
        <v>583.78993936628103</v>
      </c>
      <c r="E91" s="84">
        <v>11.105555894976099</v>
      </c>
      <c r="F91" s="68">
        <f t="shared" si="0"/>
        <v>-668.83351817168295</v>
      </c>
      <c r="G91" s="4">
        <f t="shared" si="1"/>
        <v>-0.79623037877581304</v>
      </c>
      <c r="N91" s="17"/>
      <c r="O91" s="176"/>
      <c r="P91" s="17"/>
      <c r="Q91" s="17"/>
    </row>
    <row r="92" spans="1:17">
      <c r="A92" s="28" t="s">
        <v>52</v>
      </c>
      <c r="B92" s="68">
        <v>-1298.2017882615301</v>
      </c>
      <c r="C92" s="68">
        <v>6.9380203750511003</v>
      </c>
      <c r="D92" s="55">
        <v>-479.14970818907</v>
      </c>
      <c r="E92" s="84">
        <v>38.574666629983597</v>
      </c>
      <c r="F92" s="68">
        <f t="shared" si="0"/>
        <v>-819.05208007246006</v>
      </c>
      <c r="G92" s="4">
        <f t="shared" si="1"/>
        <v>-0.97506200008626198</v>
      </c>
      <c r="N92" s="17"/>
      <c r="O92" s="60"/>
      <c r="P92" s="17"/>
      <c r="Q92" s="17"/>
    </row>
    <row r="93" spans="1:17">
      <c r="A93" s="28" t="s">
        <v>53</v>
      </c>
      <c r="B93" s="68">
        <v>-2808.0152822136902</v>
      </c>
      <c r="C93" s="68">
        <v>4.2320555369917798</v>
      </c>
      <c r="D93" s="55">
        <v>-2432.8741564154602</v>
      </c>
      <c r="E93" s="84">
        <v>46.294509997594403</v>
      </c>
      <c r="F93" s="68">
        <f t="shared" si="0"/>
        <v>-375.14112579822995</v>
      </c>
      <c r="G93" s="4">
        <f t="shared" si="1"/>
        <v>-0.44659657833122612</v>
      </c>
      <c r="N93" s="17"/>
      <c r="O93" s="60"/>
      <c r="P93" s="17"/>
      <c r="Q93" s="17"/>
    </row>
    <row r="94" spans="1:17" ht="15.75" thickBot="1">
      <c r="A94" s="29" t="s">
        <v>54</v>
      </c>
      <c r="B94" s="69">
        <v>1824.81712788343</v>
      </c>
      <c r="C94" s="69">
        <v>4.5406968216320598</v>
      </c>
      <c r="D94" s="70">
        <v>2220.7181635201</v>
      </c>
      <c r="E94" s="85">
        <v>34.623916543138897</v>
      </c>
      <c r="F94" s="69">
        <f t="shared" si="0"/>
        <v>-395.90103563667003</v>
      </c>
      <c r="G94" s="5">
        <f t="shared" si="1"/>
        <v>-0.47131075671032147</v>
      </c>
      <c r="N94" s="17"/>
      <c r="O94" s="60"/>
      <c r="P94" s="17"/>
      <c r="Q94" s="17"/>
    </row>
    <row r="95" spans="1:17">
      <c r="A95" s="26" t="s">
        <v>55</v>
      </c>
      <c r="B95" s="202">
        <v>-397.05198745429499</v>
      </c>
      <c r="C95" s="202">
        <v>20.4328669637442</v>
      </c>
      <c r="D95" s="205">
        <v>384.29197029024402</v>
      </c>
      <c r="E95" s="206">
        <v>27.551777984543399</v>
      </c>
      <c r="F95" s="67">
        <f t="shared" si="0"/>
        <v>-781.34395774453901</v>
      </c>
      <c r="G95" s="7">
        <f>F95/(4*840)</f>
        <v>-0.23254284456682708</v>
      </c>
      <c r="N95" s="17"/>
      <c r="O95" s="60"/>
      <c r="P95" s="17"/>
      <c r="Q95" s="17"/>
    </row>
    <row r="96" spans="1:17">
      <c r="A96" s="28" t="s">
        <v>56</v>
      </c>
      <c r="B96" s="203">
        <v>-257.16527540329798</v>
      </c>
      <c r="C96" s="203">
        <v>49.902886994662602</v>
      </c>
      <c r="D96" s="55">
        <v>-180.471568302251</v>
      </c>
      <c r="E96" s="84">
        <v>21.9436239015788</v>
      </c>
      <c r="F96" s="68">
        <f t="shared" si="0"/>
        <v>-76.693707101046982</v>
      </c>
      <c r="G96" s="4">
        <f t="shared" ref="G96:G100" si="2">F96/(4*840)</f>
        <v>-2.2825508065787793E-2</v>
      </c>
      <c r="N96" s="17"/>
      <c r="O96" s="60"/>
      <c r="P96" s="17"/>
      <c r="Q96" s="17"/>
    </row>
    <row r="97" spans="1:17">
      <c r="A97" s="28" t="s">
        <v>57</v>
      </c>
      <c r="B97" s="203">
        <v>1898.0853049904099</v>
      </c>
      <c r="C97" s="203">
        <v>64.937765698260094</v>
      </c>
      <c r="D97" s="55">
        <v>3874.8315504789398</v>
      </c>
      <c r="E97" s="84">
        <v>19.1237470724666</v>
      </c>
      <c r="F97" s="68">
        <f t="shared" si="0"/>
        <v>-1976.7462454885299</v>
      </c>
      <c r="G97" s="4">
        <f t="shared" si="2"/>
        <v>-0.58831733496682437</v>
      </c>
      <c r="N97" s="17"/>
      <c r="O97" s="60"/>
      <c r="P97" s="17"/>
      <c r="Q97" s="17"/>
    </row>
    <row r="98" spans="1:17">
      <c r="A98" s="28" t="s">
        <v>58</v>
      </c>
      <c r="B98" s="203">
        <v>-495.65541531890602</v>
      </c>
      <c r="C98" s="203">
        <v>54.382299837048201</v>
      </c>
      <c r="D98" s="55">
        <v>-2006.7140826433899</v>
      </c>
      <c r="E98" s="84">
        <v>105.157620725556</v>
      </c>
      <c r="F98" s="68">
        <f t="shared" si="0"/>
        <v>1511.0586673244838</v>
      </c>
      <c r="G98" s="4">
        <f t="shared" si="2"/>
        <v>0.44971984146562022</v>
      </c>
      <c r="N98" s="17"/>
      <c r="O98" s="17"/>
      <c r="P98" s="17"/>
      <c r="Q98" s="17"/>
    </row>
    <row r="99" spans="1:17">
      <c r="A99" s="28" t="s">
        <v>59</v>
      </c>
      <c r="B99" s="203">
        <v>-1115.42523635924</v>
      </c>
      <c r="C99" s="203">
        <v>300.79800955847202</v>
      </c>
      <c r="D99" s="55">
        <v>794.04529502987896</v>
      </c>
      <c r="E99" s="84">
        <v>120.998919863618</v>
      </c>
      <c r="F99" s="68">
        <f t="shared" si="0"/>
        <v>-1909.4705313891191</v>
      </c>
      <c r="G99" s="4">
        <f t="shared" si="2"/>
        <v>-0.56829480100866636</v>
      </c>
      <c r="N99" s="17"/>
      <c r="O99" s="17"/>
      <c r="P99" s="17"/>
      <c r="Q99" s="17"/>
    </row>
    <row r="100" spans="1:17" ht="15.75" thickBot="1">
      <c r="A100" s="29" t="s">
        <v>60</v>
      </c>
      <c r="B100" s="204">
        <v>317.737521928859</v>
      </c>
      <c r="C100" s="204">
        <v>456.70421221562498</v>
      </c>
      <c r="D100" s="70">
        <v>-1316.0759267807</v>
      </c>
      <c r="E100" s="85">
        <v>98.499792902566497</v>
      </c>
      <c r="F100" s="69">
        <f t="shared" si="0"/>
        <v>1633.813448709559</v>
      </c>
      <c r="G100" s="5">
        <f t="shared" si="2"/>
        <v>0.48625400259213064</v>
      </c>
      <c r="N100" s="17"/>
      <c r="O100" s="17"/>
      <c r="P100" s="17"/>
      <c r="Q100" s="17"/>
    </row>
    <row r="101" spans="1:17">
      <c r="A101" s="176"/>
      <c r="B101" s="145"/>
      <c r="C101" s="146"/>
      <c r="D101" s="17"/>
      <c r="E101" s="17"/>
      <c r="F101" s="17"/>
      <c r="G101" s="17"/>
      <c r="H101" s="17"/>
      <c r="N101" s="17"/>
      <c r="O101" s="17"/>
      <c r="P101" s="17"/>
      <c r="Q101" s="17"/>
    </row>
    <row r="102" spans="1:17">
      <c r="N102" s="17"/>
      <c r="O102" s="17"/>
      <c r="P102" s="17"/>
      <c r="Q102" s="17"/>
    </row>
    <row r="106" spans="1:17" ht="15.75" thickBot="1">
      <c r="A106" s="101" t="s">
        <v>74</v>
      </c>
    </row>
    <row r="107" spans="1:17" ht="15.75" thickBot="1">
      <c r="A107" s="103" t="s">
        <v>69</v>
      </c>
      <c r="B107" s="175" t="s">
        <v>51</v>
      </c>
      <c r="C107" s="102" t="s">
        <v>57</v>
      </c>
      <c r="D107" s="172" t="s">
        <v>54</v>
      </c>
      <c r="E107" s="174" t="s">
        <v>60</v>
      </c>
    </row>
    <row r="108" spans="1:17">
      <c r="A108" s="96" t="s">
        <v>70</v>
      </c>
      <c r="B108" s="104"/>
      <c r="C108" s="100"/>
      <c r="D108" s="51"/>
      <c r="E108" s="93"/>
    </row>
    <row r="109" spans="1:17">
      <c r="A109" s="105" t="s">
        <v>72</v>
      </c>
      <c r="B109" s="91"/>
      <c r="C109" s="86"/>
      <c r="D109" s="52"/>
      <c r="E109" s="106"/>
    </row>
    <row r="110" spans="1:17">
      <c r="A110" s="105" t="s">
        <v>71</v>
      </c>
      <c r="B110" s="91"/>
      <c r="C110" s="86"/>
      <c r="D110" s="52"/>
      <c r="E110" s="106"/>
    </row>
    <row r="111" spans="1:17" ht="30.75" thickBot="1">
      <c r="A111" s="107" t="s">
        <v>73</v>
      </c>
      <c r="B111" s="108"/>
      <c r="C111" s="87"/>
      <c r="D111" s="53"/>
      <c r="E111" s="92"/>
    </row>
    <row r="114" spans="1:6" ht="15.75" thickBot="1"/>
    <row r="115" spans="1:6" ht="15.75" thickBot="1">
      <c r="A115" s="82" t="s">
        <v>77</v>
      </c>
      <c r="B115" s="175" t="s">
        <v>75</v>
      </c>
      <c r="C115" s="178" t="s">
        <v>165</v>
      </c>
      <c r="D115" s="178" t="s">
        <v>76</v>
      </c>
      <c r="E115" s="222" t="s">
        <v>166</v>
      </c>
      <c r="F115" s="223" t="s">
        <v>141</v>
      </c>
    </row>
    <row r="116" spans="1:6">
      <c r="A116" s="207" t="s">
        <v>49</v>
      </c>
      <c r="B116" s="210">
        <v>-8198.7440000000006</v>
      </c>
      <c r="C116" s="211">
        <v>-137</v>
      </c>
      <c r="D116" s="219">
        <v>8088.7619999999997</v>
      </c>
      <c r="E116" s="212">
        <f>D116-B116</f>
        <v>16287.506000000001</v>
      </c>
      <c r="F116" s="224">
        <f>E116/840</f>
        <v>19.389888095238096</v>
      </c>
    </row>
    <row r="117" spans="1:6">
      <c r="A117" s="208" t="s">
        <v>50</v>
      </c>
      <c r="B117" s="213">
        <v>-7783.0415999999996</v>
      </c>
      <c r="C117" s="214">
        <v>371</v>
      </c>
      <c r="D117" s="220">
        <v>8238.5051999999996</v>
      </c>
      <c r="E117" s="215">
        <f t="shared" ref="E117:E127" si="3">D117-B117</f>
        <v>16021.5468</v>
      </c>
      <c r="F117" s="132">
        <f t="shared" ref="F117:F121" si="4">E117/840</f>
        <v>19.073270000000001</v>
      </c>
    </row>
    <row r="118" spans="1:6">
      <c r="A118" s="208" t="s">
        <v>51</v>
      </c>
      <c r="B118" s="213">
        <v>-7605.1148000000003</v>
      </c>
      <c r="C118" s="214">
        <v>591</v>
      </c>
      <c r="D118" s="220">
        <v>8080.2766000000001</v>
      </c>
      <c r="E118" s="215">
        <f t="shared" si="3"/>
        <v>15685.3914</v>
      </c>
      <c r="F118" s="132">
        <f t="shared" si="4"/>
        <v>18.673085</v>
      </c>
    </row>
    <row r="119" spans="1:6">
      <c r="A119" s="208" t="s">
        <v>52</v>
      </c>
      <c r="B119" s="213">
        <v>-12246.054</v>
      </c>
      <c r="C119" s="214">
        <v>932</v>
      </c>
      <c r="D119" s="220">
        <v>14125.642</v>
      </c>
      <c r="E119" s="215">
        <f t="shared" si="3"/>
        <v>26371.696</v>
      </c>
      <c r="F119" s="132">
        <f t="shared" si="4"/>
        <v>31.394876190476189</v>
      </c>
    </row>
    <row r="120" spans="1:6">
      <c r="A120" s="208" t="s">
        <v>53</v>
      </c>
      <c r="B120" s="213">
        <v>-12278.237999999999</v>
      </c>
      <c r="C120" s="214">
        <v>831</v>
      </c>
      <c r="D120" s="220">
        <v>13963.998</v>
      </c>
      <c r="E120" s="215">
        <f t="shared" si="3"/>
        <v>26242.235999999997</v>
      </c>
      <c r="F120" s="132">
        <f t="shared" si="4"/>
        <v>31.240757142857138</v>
      </c>
    </row>
    <row r="121" spans="1:6">
      <c r="A121" s="208" t="s">
        <v>54</v>
      </c>
      <c r="B121" s="213">
        <v>-12807.87</v>
      </c>
      <c r="C121" s="214">
        <v>236</v>
      </c>
      <c r="D121" s="220">
        <v>13264.386</v>
      </c>
      <c r="E121" s="215">
        <f t="shared" si="3"/>
        <v>26072.256000000001</v>
      </c>
      <c r="F121" s="132">
        <f t="shared" si="4"/>
        <v>31.038400000000003</v>
      </c>
    </row>
    <row r="122" spans="1:6">
      <c r="A122" s="208" t="s">
        <v>55</v>
      </c>
      <c r="B122" s="213">
        <v>-9014.7883999999995</v>
      </c>
      <c r="C122" s="214">
        <v>349</v>
      </c>
      <c r="D122" s="220">
        <v>9714.9982</v>
      </c>
      <c r="E122" s="215">
        <f t="shared" si="3"/>
        <v>18729.786599999999</v>
      </c>
      <c r="F122" s="132">
        <f>E122/(4*840)</f>
        <v>5.5743412499999998</v>
      </c>
    </row>
    <row r="123" spans="1:6">
      <c r="A123" s="208" t="s">
        <v>56</v>
      </c>
      <c r="B123" s="213">
        <v>-9570.8230000000094</v>
      </c>
      <c r="C123" s="214">
        <v>-203</v>
      </c>
      <c r="D123" s="220">
        <v>9176.5010000000002</v>
      </c>
      <c r="E123" s="215">
        <f t="shared" si="3"/>
        <v>18747.324000000008</v>
      </c>
      <c r="F123" s="132">
        <f t="shared" ref="F123:F127" si="5">E123/(4*840)</f>
        <v>5.5795607142857166</v>
      </c>
    </row>
    <row r="124" spans="1:6">
      <c r="A124" s="208" t="s">
        <v>57</v>
      </c>
      <c r="B124" s="213">
        <v>-5350.8822</v>
      </c>
      <c r="C124" s="214">
        <v>3810</v>
      </c>
      <c r="D124" s="220">
        <v>12971.91</v>
      </c>
      <c r="E124" s="215">
        <f t="shared" si="3"/>
        <v>18322.7922</v>
      </c>
      <c r="F124" s="132">
        <f t="shared" si="5"/>
        <v>5.453211964285714</v>
      </c>
    </row>
    <row r="125" spans="1:6">
      <c r="A125" s="208" t="s">
        <v>58</v>
      </c>
      <c r="B125" s="213">
        <v>-13391.244000000001</v>
      </c>
      <c r="C125" s="214">
        <v>-1850</v>
      </c>
      <c r="D125" s="220">
        <v>9687.5985999999994</v>
      </c>
      <c r="E125" s="215">
        <f t="shared" si="3"/>
        <v>23078.8426</v>
      </c>
      <c r="F125" s="132">
        <f t="shared" si="5"/>
        <v>6.8687031547619046</v>
      </c>
    </row>
    <row r="126" spans="1:6">
      <c r="A126" s="208" t="s">
        <v>59</v>
      </c>
      <c r="B126" s="213">
        <v>-10428.046</v>
      </c>
      <c r="C126" s="214">
        <v>994</v>
      </c>
      <c r="D126" s="220">
        <v>12389.126</v>
      </c>
      <c r="E126" s="215">
        <f t="shared" si="3"/>
        <v>22817.171999999999</v>
      </c>
      <c r="F126" s="132">
        <f t="shared" si="5"/>
        <v>6.7908249999999999</v>
      </c>
    </row>
    <row r="127" spans="1:6" ht="15.75" thickBot="1">
      <c r="A127" s="209" t="s">
        <v>60</v>
      </c>
      <c r="B127" s="216">
        <v>-12497.074000000001</v>
      </c>
      <c r="C127" s="217">
        <v>-925</v>
      </c>
      <c r="D127" s="221">
        <v>10640.88</v>
      </c>
      <c r="E127" s="218">
        <f t="shared" si="3"/>
        <v>23137.953999999998</v>
      </c>
      <c r="F127" s="135">
        <f t="shared" si="5"/>
        <v>6.8862958333333326</v>
      </c>
    </row>
    <row r="130" spans="1:6" ht="15.75" thickBot="1"/>
    <row r="131" spans="1:6" ht="51.75" thickBot="1">
      <c r="B131" s="111"/>
      <c r="C131" s="138" t="s">
        <v>86</v>
      </c>
      <c r="D131" s="138" t="s">
        <v>87</v>
      </c>
      <c r="E131" s="109" t="s">
        <v>88</v>
      </c>
      <c r="F131" s="110" t="s">
        <v>89</v>
      </c>
    </row>
    <row r="132" spans="1:6">
      <c r="A132" s="383" t="s">
        <v>34</v>
      </c>
      <c r="B132" s="48" t="s">
        <v>49</v>
      </c>
      <c r="C132" s="225">
        <v>0.54783874836052504</v>
      </c>
      <c r="D132" s="219">
        <v>-283.58465149263901</v>
      </c>
      <c r="E132" s="386">
        <f>AVERAGE(C132:C134)</f>
        <v>0.54321127029794036</v>
      </c>
      <c r="F132" s="139">
        <f>100*(C132-$E$132)/$E$132</f>
        <v>0.85187445762062342</v>
      </c>
    </row>
    <row r="133" spans="1:6">
      <c r="A133" s="383"/>
      <c r="B133" s="28" t="s">
        <v>50</v>
      </c>
      <c r="C133" s="226">
        <v>0.53912998001210699</v>
      </c>
      <c r="D133" s="220">
        <v>533.63543127023502</v>
      </c>
      <c r="E133" s="387"/>
      <c r="F133" s="140">
        <f t="shared" ref="F133:F134" si="6">100*(C133-$E$132)/$E$132</f>
        <v>-0.75132651124761596</v>
      </c>
    </row>
    <row r="134" spans="1:6" ht="15.75" thickBot="1">
      <c r="A134" s="383"/>
      <c r="B134" s="29" t="s">
        <v>51</v>
      </c>
      <c r="C134" s="227">
        <v>0.54266508252118895</v>
      </c>
      <c r="D134" s="221">
        <v>973.57887249403905</v>
      </c>
      <c r="E134" s="388"/>
      <c r="F134" s="141">
        <f t="shared" si="6"/>
        <v>-0.1005479463730279</v>
      </c>
    </row>
    <row r="135" spans="1:6">
      <c r="A135" s="383"/>
      <c r="B135" s="26" t="s">
        <v>52</v>
      </c>
      <c r="C135" s="228">
        <v>0.44043387731366901</v>
      </c>
      <c r="D135" s="229">
        <v>928.51230712024403</v>
      </c>
      <c r="E135" s="386">
        <f>AVERAGE(C135:C137)</f>
        <v>0.43801303640007933</v>
      </c>
      <c r="F135" s="139">
        <f>100*(C135-$E$135)/$E$135</f>
        <v>0.55268695504726884</v>
      </c>
    </row>
    <row r="136" spans="1:6">
      <c r="A136" s="383"/>
      <c r="B136" s="28" t="s">
        <v>53</v>
      </c>
      <c r="C136" s="226">
        <v>0.438605204711421</v>
      </c>
      <c r="D136" s="220">
        <v>854.70283384566005</v>
      </c>
      <c r="E136" s="387"/>
      <c r="F136" s="140">
        <f t="shared" ref="F136:F137" si="7">100*(C136-$E$135)/$E$135</f>
        <v>0.13519422074935564</v>
      </c>
    </row>
    <row r="137" spans="1:6" ht="15.75" thickBot="1">
      <c r="A137" s="383"/>
      <c r="B137" s="29" t="s">
        <v>54</v>
      </c>
      <c r="C137" s="227">
        <v>0.43500002717514802</v>
      </c>
      <c r="D137" s="221">
        <v>296.16098109018799</v>
      </c>
      <c r="E137" s="388"/>
      <c r="F137" s="141">
        <f t="shared" si="7"/>
        <v>-0.68788117579661179</v>
      </c>
    </row>
    <row r="138" spans="1:6">
      <c r="A138" s="383" t="s">
        <v>35</v>
      </c>
      <c r="B138" s="48" t="s">
        <v>55</v>
      </c>
      <c r="C138" s="225">
        <v>0.31328032849969401</v>
      </c>
      <c r="D138" s="219">
        <v>325.37747517730497</v>
      </c>
      <c r="E138" s="386">
        <f>AVERAGE(C138:C140)</f>
        <v>0.31100116801971933</v>
      </c>
      <c r="F138" s="139">
        <f>100*(C138-$E$138)/$E$138</f>
        <v>0.73284627658702584</v>
      </c>
    </row>
    <row r="139" spans="1:6">
      <c r="A139" s="383"/>
      <c r="B139" s="28" t="s">
        <v>56</v>
      </c>
      <c r="C139" s="226">
        <v>0.31438088411295101</v>
      </c>
      <c r="D139" s="220">
        <v>-222.72073158246801</v>
      </c>
      <c r="E139" s="387"/>
      <c r="F139" s="140">
        <f t="shared" ref="F139:F140" si="8">100*(C139-$E$138)/$E$138</f>
        <v>1.0867213505183309</v>
      </c>
    </row>
    <row r="140" spans="1:6" ht="15.75" thickBot="1">
      <c r="A140" s="383"/>
      <c r="B140" s="29" t="s">
        <v>57</v>
      </c>
      <c r="C140" s="227">
        <v>0.30534229144651298</v>
      </c>
      <c r="D140" s="221">
        <v>3722.8935992022102</v>
      </c>
      <c r="E140" s="388"/>
      <c r="F140" s="141">
        <f t="shared" si="8"/>
        <v>-1.8195676271053567</v>
      </c>
    </row>
    <row r="141" spans="1:6">
      <c r="A141" s="383"/>
      <c r="B141" s="26" t="s">
        <v>58</v>
      </c>
      <c r="C141" s="228">
        <v>0.38633294543249103</v>
      </c>
      <c r="D141" s="229">
        <v>-1851.16479112243</v>
      </c>
      <c r="E141" s="386">
        <f>AVERAGE(C141:C143)</f>
        <v>0.38550070404257902</v>
      </c>
      <c r="F141" s="139">
        <f>100*(C141-$E$141)/$E$141</f>
        <v>0.21588582878958396</v>
      </c>
    </row>
    <row r="142" spans="1:6">
      <c r="A142" s="383"/>
      <c r="B142" s="28" t="s">
        <v>59</v>
      </c>
      <c r="C142" s="226">
        <v>0.38251032621174602</v>
      </c>
      <c r="D142" s="220">
        <v>945.065017401055</v>
      </c>
      <c r="E142" s="387"/>
      <c r="F142" s="140">
        <f t="shared" ref="F142:F143" si="9">100*(C142-$E$141)/$E$141</f>
        <v>-0.77571267690932966</v>
      </c>
    </row>
    <row r="143" spans="1:6" ht="15.75" thickBot="1">
      <c r="A143" s="383"/>
      <c r="B143" s="29" t="s">
        <v>60</v>
      </c>
      <c r="C143" s="227">
        <v>0.38765884048350002</v>
      </c>
      <c r="D143" s="221">
        <v>-878.02181981049205</v>
      </c>
      <c r="E143" s="388"/>
      <c r="F143" s="141">
        <f t="shared" si="9"/>
        <v>0.5598268481197457</v>
      </c>
    </row>
    <row r="146" spans="1:5" ht="15.75" thickBot="1"/>
    <row r="147" spans="1:5" ht="15.75" thickBot="1">
      <c r="B147" s="368" t="s">
        <v>107</v>
      </c>
      <c r="C147" s="369"/>
      <c r="D147" s="369"/>
      <c r="E147" s="370"/>
    </row>
    <row r="148" spans="1:5" ht="15.75" thickBot="1">
      <c r="A148" s="157" t="s">
        <v>46</v>
      </c>
      <c r="B148" s="158" t="s">
        <v>91</v>
      </c>
      <c r="C148" s="159" t="s">
        <v>92</v>
      </c>
      <c r="D148" s="158" t="s">
        <v>93</v>
      </c>
      <c r="E148" s="160" t="s">
        <v>94</v>
      </c>
    </row>
    <row r="149" spans="1:5">
      <c r="A149" s="161" t="s">
        <v>95</v>
      </c>
      <c r="B149" s="90"/>
      <c r="C149" s="148"/>
      <c r="D149" s="20"/>
      <c r="E149" s="123"/>
    </row>
    <row r="150" spans="1:5">
      <c r="A150" s="162" t="s">
        <v>96</v>
      </c>
      <c r="B150" s="56"/>
      <c r="C150" s="149"/>
      <c r="D150" s="21"/>
      <c r="E150" s="124"/>
    </row>
    <row r="151" spans="1:5">
      <c r="A151" s="162" t="s">
        <v>97</v>
      </c>
      <c r="B151" s="56"/>
      <c r="C151" s="149"/>
      <c r="D151" s="21"/>
      <c r="E151" s="124"/>
    </row>
    <row r="152" spans="1:5">
      <c r="A152" s="162" t="s">
        <v>98</v>
      </c>
      <c r="B152" s="56"/>
      <c r="C152" s="149"/>
      <c r="D152" s="21"/>
      <c r="E152" s="124"/>
    </row>
    <row r="153" spans="1:5">
      <c r="A153" s="162" t="s">
        <v>99</v>
      </c>
      <c r="B153" s="56"/>
      <c r="C153" s="149"/>
      <c r="D153" s="21"/>
      <c r="E153" s="124"/>
    </row>
    <row r="154" spans="1:5" ht="15.75" thickBot="1">
      <c r="A154" s="163" t="s">
        <v>100</v>
      </c>
      <c r="B154" s="57"/>
      <c r="C154" s="150"/>
      <c r="D154" s="22"/>
      <c r="E154" s="125"/>
    </row>
    <row r="155" spans="1:5">
      <c r="A155" s="164" t="s">
        <v>101</v>
      </c>
      <c r="B155" s="89"/>
      <c r="C155" s="151"/>
      <c r="D155" s="27"/>
      <c r="E155" s="153"/>
    </row>
    <row r="156" spans="1:5">
      <c r="A156" s="162" t="s">
        <v>102</v>
      </c>
      <c r="B156" s="56"/>
      <c r="C156" s="149"/>
      <c r="D156" s="21"/>
      <c r="E156" s="124"/>
    </row>
    <row r="157" spans="1:5">
      <c r="A157" s="162" t="s">
        <v>103</v>
      </c>
      <c r="B157" s="56"/>
      <c r="C157" s="149"/>
      <c r="D157" s="21"/>
      <c r="E157" s="124"/>
    </row>
    <row r="158" spans="1:5">
      <c r="A158" s="162" t="s">
        <v>104</v>
      </c>
      <c r="B158" s="56"/>
      <c r="C158" s="149"/>
      <c r="D158" s="21"/>
      <c r="E158" s="124"/>
    </row>
    <row r="159" spans="1:5">
      <c r="A159" s="162" t="s">
        <v>105</v>
      </c>
      <c r="B159" s="56"/>
      <c r="C159" s="149"/>
      <c r="D159" s="21"/>
      <c r="E159" s="124"/>
    </row>
    <row r="160" spans="1:5" ht="15.75" thickBot="1">
      <c r="A160" s="165" t="s">
        <v>106</v>
      </c>
      <c r="B160" s="155"/>
      <c r="C160" s="152"/>
      <c r="D160" s="156"/>
      <c r="E160" s="154"/>
    </row>
    <row r="161" spans="1:9">
      <c r="A161" s="161" t="s">
        <v>108</v>
      </c>
      <c r="B161" s="90"/>
      <c r="C161" s="148"/>
      <c r="D161" s="20"/>
      <c r="E161" s="123"/>
    </row>
    <row r="162" spans="1:9">
      <c r="A162" s="162" t="s">
        <v>109</v>
      </c>
      <c r="B162" s="56"/>
      <c r="C162" s="149"/>
      <c r="D162" s="21"/>
      <c r="E162" s="124"/>
    </row>
    <row r="163" spans="1:9" ht="15.75" thickBot="1">
      <c r="A163" s="163" t="s">
        <v>110</v>
      </c>
      <c r="B163" s="57"/>
      <c r="C163" s="150"/>
      <c r="D163" s="22"/>
      <c r="E163" s="125"/>
    </row>
    <row r="164" spans="1:9">
      <c r="A164" s="259"/>
      <c r="B164" s="146"/>
      <c r="C164" s="146"/>
      <c r="D164" s="45"/>
      <c r="E164" s="45"/>
    </row>
    <row r="165" spans="1:9">
      <c r="A165" s="259"/>
      <c r="B165" s="146"/>
      <c r="C165" s="146"/>
      <c r="D165" s="45"/>
      <c r="E165" s="45"/>
    </row>
    <row r="166" spans="1:9">
      <c r="A166" s="259"/>
      <c r="B166" s="146"/>
      <c r="C166" s="146"/>
      <c r="D166" s="45"/>
      <c r="E166" s="45"/>
    </row>
    <row r="167" spans="1:9">
      <c r="A167" s="101" t="s">
        <v>167</v>
      </c>
    </row>
    <row r="168" spans="1:9" ht="15.75" thickBot="1">
      <c r="A168"/>
      <c r="D168" s="397" t="s">
        <v>46</v>
      </c>
      <c r="E168" s="397"/>
      <c r="F168" s="397"/>
      <c r="G168" s="397"/>
      <c r="H168" s="397"/>
      <c r="I168" s="397"/>
    </row>
    <row r="169" spans="1:9" ht="15.75" thickBot="1">
      <c r="A169"/>
      <c r="D169" s="172" t="s">
        <v>49</v>
      </c>
      <c r="E169" s="173" t="s">
        <v>50</v>
      </c>
      <c r="F169" s="102" t="s">
        <v>51</v>
      </c>
      <c r="G169" s="172" t="s">
        <v>52</v>
      </c>
      <c r="H169" s="173" t="s">
        <v>53</v>
      </c>
      <c r="I169" s="174" t="s">
        <v>54</v>
      </c>
    </row>
    <row r="170" spans="1:9">
      <c r="A170"/>
      <c r="B170" s="383" t="s">
        <v>69</v>
      </c>
      <c r="C170" s="240" t="s">
        <v>49</v>
      </c>
      <c r="D170" s="248">
        <v>3839.4014999999999</v>
      </c>
      <c r="E170" s="249">
        <v>1536.23038</v>
      </c>
      <c r="F170" s="252">
        <v>1556.7577200000001</v>
      </c>
      <c r="G170" s="257">
        <v>19.267500000000599</v>
      </c>
      <c r="H170" s="249">
        <v>-6.0847399999992202</v>
      </c>
      <c r="I170" s="250">
        <v>-10.6515319999999</v>
      </c>
    </row>
    <row r="171" spans="1:9">
      <c r="B171" s="383"/>
      <c r="C171" s="208" t="s">
        <v>50</v>
      </c>
      <c r="D171" s="236">
        <v>1538.7769000000001</v>
      </c>
      <c r="E171" s="233">
        <v>3774.1799799999999</v>
      </c>
      <c r="F171" s="253">
        <v>1532.45832</v>
      </c>
      <c r="G171" s="236">
        <v>-5.2498799999997301</v>
      </c>
      <c r="H171" s="234">
        <v>11.196580000000599</v>
      </c>
      <c r="I171" s="235">
        <v>-1.49337999999995</v>
      </c>
    </row>
    <row r="172" spans="1:9" ht="15.75" thickBot="1">
      <c r="B172" s="383"/>
      <c r="C172" s="209" t="s">
        <v>51</v>
      </c>
      <c r="D172" s="237">
        <v>1543.4707000000001</v>
      </c>
      <c r="E172" s="238">
        <v>1534.8735799999999</v>
      </c>
      <c r="F172" s="254">
        <v>3810.93732</v>
      </c>
      <c r="G172" s="237">
        <v>2.4280000000317201E-2</v>
      </c>
      <c r="H172" s="238">
        <v>-20.8657199999986</v>
      </c>
      <c r="I172" s="251">
        <v>23.63166</v>
      </c>
    </row>
    <row r="173" spans="1:9">
      <c r="B173" s="383"/>
      <c r="C173" s="207" t="s">
        <v>52</v>
      </c>
      <c r="D173" s="247">
        <v>73.610019999999906</v>
      </c>
      <c r="E173" s="242">
        <v>-134.40734</v>
      </c>
      <c r="F173" s="255">
        <v>106.36272</v>
      </c>
      <c r="G173" s="241">
        <v>3095.1252800000002</v>
      </c>
      <c r="H173" s="242">
        <v>-569.59522000000004</v>
      </c>
      <c r="I173" s="243">
        <v>-555.02215999999999</v>
      </c>
    </row>
    <row r="174" spans="1:9">
      <c r="B174" s="383"/>
      <c r="C174" s="208" t="s">
        <v>53</v>
      </c>
      <c r="D174" s="236">
        <v>84.100359999999995</v>
      </c>
      <c r="E174" s="234">
        <v>31.786160000000098</v>
      </c>
      <c r="F174" s="253">
        <v>-139.61498</v>
      </c>
      <c r="G174" s="236">
        <v>-553.26454000000001</v>
      </c>
      <c r="H174" s="233">
        <v>3076.1235200000001</v>
      </c>
      <c r="I174" s="235">
        <v>-570.74357999999995</v>
      </c>
    </row>
    <row r="175" spans="1:9" ht="15.75" thickBot="1">
      <c r="B175" s="383"/>
      <c r="C175" s="209" t="s">
        <v>54</v>
      </c>
      <c r="D175" s="237">
        <v>-155.65196</v>
      </c>
      <c r="E175" s="238">
        <v>83.629140000000007</v>
      </c>
      <c r="F175" s="256">
        <v>37.977119999999999</v>
      </c>
      <c r="G175" s="237">
        <v>-564.95767999999998</v>
      </c>
      <c r="H175" s="238">
        <v>-537.83550000000002</v>
      </c>
      <c r="I175" s="239">
        <v>3050.7204200000001</v>
      </c>
    </row>
    <row r="176" spans="1:9">
      <c r="B176" s="146"/>
      <c r="C176" s="144"/>
      <c r="D176" s="230"/>
      <c r="E176" s="230"/>
      <c r="F176" s="230"/>
      <c r="G176" s="230"/>
      <c r="H176" s="230"/>
      <c r="I176" s="230"/>
    </row>
    <row r="177" spans="1:9">
      <c r="D177" s="230"/>
      <c r="E177" s="230"/>
      <c r="F177" s="230"/>
      <c r="G177" s="230"/>
      <c r="H177" s="230"/>
      <c r="I177" s="230"/>
    </row>
    <row r="178" spans="1:9" ht="15.75" thickBot="1">
      <c r="D178" s="397" t="s">
        <v>46</v>
      </c>
      <c r="E178" s="397"/>
      <c r="F178" s="397"/>
      <c r="G178" s="397"/>
      <c r="H178" s="397"/>
      <c r="I178" s="397"/>
    </row>
    <row r="179" spans="1:9" ht="15.75" thickBot="1">
      <c r="D179" s="244" t="s">
        <v>55</v>
      </c>
      <c r="E179" s="245" t="s">
        <v>56</v>
      </c>
      <c r="F179" s="258" t="s">
        <v>57</v>
      </c>
      <c r="G179" s="244" t="s">
        <v>58</v>
      </c>
      <c r="H179" s="245" t="s">
        <v>59</v>
      </c>
      <c r="I179" s="246" t="s">
        <v>60</v>
      </c>
    </row>
    <row r="180" spans="1:9">
      <c r="B180" s="383" t="s">
        <v>69</v>
      </c>
      <c r="C180" s="240" t="s">
        <v>55</v>
      </c>
      <c r="D180" s="248">
        <v>2192.2832600000002</v>
      </c>
      <c r="E180" s="249">
        <v>327.19058999999999</v>
      </c>
      <c r="F180" s="252">
        <v>346.56340000000102</v>
      </c>
      <c r="G180" s="257">
        <v>-12.3328000000004</v>
      </c>
      <c r="H180" s="249">
        <v>-18.034879999999902</v>
      </c>
      <c r="I180" s="250">
        <v>21.071840000000599</v>
      </c>
    </row>
    <row r="181" spans="1:9">
      <c r="B181" s="383"/>
      <c r="C181" s="208" t="s">
        <v>56</v>
      </c>
      <c r="D181" s="236">
        <v>326.43752000000001</v>
      </c>
      <c r="E181" s="233">
        <v>2186.7967119999998</v>
      </c>
      <c r="F181" s="253">
        <v>348.58019999999902</v>
      </c>
      <c r="G181" s="236">
        <v>-9.8802000000007393</v>
      </c>
      <c r="H181" s="234">
        <v>-2.2481399999993501</v>
      </c>
      <c r="I181" s="235">
        <v>-6.3785399999992496</v>
      </c>
    </row>
    <row r="182" spans="1:9" ht="15.75" thickBot="1">
      <c r="B182" s="383"/>
      <c r="C182" s="209" t="s">
        <v>57</v>
      </c>
      <c r="D182" s="237">
        <v>326.05959999999999</v>
      </c>
      <c r="E182" s="238">
        <v>311.16489999999999</v>
      </c>
      <c r="F182" s="254">
        <v>2161.9204</v>
      </c>
      <c r="G182" s="237">
        <v>-25.214399999999198</v>
      </c>
      <c r="H182" s="238">
        <v>9.0671000000008899</v>
      </c>
      <c r="I182" s="251">
        <v>5.8316600000002801</v>
      </c>
    </row>
    <row r="183" spans="1:9">
      <c r="B183" s="383"/>
      <c r="C183" s="207" t="s">
        <v>58</v>
      </c>
      <c r="D183" s="247">
        <v>69.0606200000001</v>
      </c>
      <c r="E183" s="242">
        <v>114.240532</v>
      </c>
      <c r="F183" s="255">
        <v>-181.633000000002</v>
      </c>
      <c r="G183" s="241">
        <v>2716.7697800000001</v>
      </c>
      <c r="H183" s="242">
        <v>283.41748000000001</v>
      </c>
      <c r="I183" s="243">
        <v>-12.003039999999601</v>
      </c>
    </row>
    <row r="184" spans="1:9">
      <c r="B184" s="383"/>
      <c r="C184" s="208" t="s">
        <v>59</v>
      </c>
      <c r="D184" s="236">
        <v>-201.82232999999999</v>
      </c>
      <c r="E184" s="234">
        <v>50.571132000000098</v>
      </c>
      <c r="F184" s="253">
        <v>123.396999999998</v>
      </c>
      <c r="G184" s="236">
        <v>-26.728800000000302</v>
      </c>
      <c r="H184" s="233">
        <v>2675.8948799999998</v>
      </c>
      <c r="I184" s="235">
        <v>286.52305999999999</v>
      </c>
    </row>
    <row r="185" spans="1:9" ht="15.75" thickBot="1">
      <c r="B185" s="383"/>
      <c r="C185" s="209" t="s">
        <v>60</v>
      </c>
      <c r="D185" s="237">
        <v>120.42392</v>
      </c>
      <c r="E185" s="238">
        <v>-208.67026799999999</v>
      </c>
      <c r="F185" s="256">
        <v>96.932599999997805</v>
      </c>
      <c r="G185" s="237">
        <v>294.327</v>
      </c>
      <c r="H185" s="238">
        <v>-7.1387799999994304</v>
      </c>
      <c r="I185" s="239">
        <v>2704.81828</v>
      </c>
    </row>
    <row r="187" spans="1:9" ht="15.75" thickBot="1">
      <c r="A187" s="101" t="s">
        <v>168</v>
      </c>
    </row>
    <row r="188" spans="1:9" ht="15.75" thickBot="1">
      <c r="C188" s="260"/>
      <c r="D188" s="279" t="s">
        <v>169</v>
      </c>
      <c r="E188" s="280" t="s">
        <v>170</v>
      </c>
      <c r="F188" s="279" t="s">
        <v>171</v>
      </c>
      <c r="G188" s="280" t="s">
        <v>173</v>
      </c>
      <c r="H188" s="279" t="s">
        <v>173</v>
      </c>
      <c r="I188" s="281" t="s">
        <v>174</v>
      </c>
    </row>
    <row r="189" spans="1:9">
      <c r="B189" s="383" t="s">
        <v>69</v>
      </c>
      <c r="C189" s="275" t="s">
        <v>169</v>
      </c>
      <c r="D189" s="267">
        <v>1529.10232</v>
      </c>
      <c r="E189" s="261">
        <v>-1.4771399999999599</v>
      </c>
      <c r="F189" s="212">
        <v>12.228980000000099</v>
      </c>
      <c r="G189" s="261">
        <v>-8.19397200000002</v>
      </c>
      <c r="H189" s="212">
        <v>-19.660780000000301</v>
      </c>
      <c r="I189" s="224">
        <v>17.896740000000101</v>
      </c>
    </row>
    <row r="190" spans="1:9">
      <c r="B190" s="383"/>
      <c r="C190" s="276" t="s">
        <v>170</v>
      </c>
      <c r="D190" s="215">
        <v>-27.78004</v>
      </c>
      <c r="E190" s="262">
        <v>1504.4793199999999</v>
      </c>
      <c r="F190" s="215">
        <v>1.58235999999999</v>
      </c>
      <c r="G190" s="263">
        <v>19.369316000000001</v>
      </c>
      <c r="H190" s="215">
        <v>-21.446079999999998</v>
      </c>
      <c r="I190" s="132">
        <v>-9.3653999999998501</v>
      </c>
    </row>
    <row r="191" spans="1:9">
      <c r="B191" s="383"/>
      <c r="C191" s="276" t="s">
        <v>171</v>
      </c>
      <c r="D191" s="215">
        <v>5.6147200000002604</v>
      </c>
      <c r="E191" s="263">
        <v>-13.1875579999999</v>
      </c>
      <c r="F191" s="269">
        <v>651.92517999999995</v>
      </c>
      <c r="G191" s="263">
        <v>1.27383600000002</v>
      </c>
      <c r="H191" s="215">
        <v>-17.258940000000202</v>
      </c>
      <c r="I191" s="132">
        <v>-8.5615199999999696</v>
      </c>
    </row>
    <row r="192" spans="1:9">
      <c r="B192" s="383"/>
      <c r="C192" s="276" t="s">
        <v>172</v>
      </c>
      <c r="D192" s="215">
        <v>-1.75113999999996</v>
      </c>
      <c r="E192" s="264">
        <v>314.910078</v>
      </c>
      <c r="F192" s="215">
        <v>-2.3960200000001399</v>
      </c>
      <c r="G192" s="262">
        <v>2656.02115</v>
      </c>
      <c r="H192" s="215">
        <v>-5.3923600000000498</v>
      </c>
      <c r="I192" s="132">
        <v>-14.5957000000001</v>
      </c>
    </row>
    <row r="193" spans="2:9">
      <c r="B193" s="383"/>
      <c r="C193" s="276" t="s">
        <v>173</v>
      </c>
      <c r="D193" s="268">
        <v>-327.05988000000099</v>
      </c>
      <c r="E193" s="263">
        <v>22.761524000000101</v>
      </c>
      <c r="F193" s="215">
        <v>6.5227999999999602</v>
      </c>
      <c r="G193" s="263">
        <v>4.5257440000000697</v>
      </c>
      <c r="H193" s="269">
        <v>2635.3295199999998</v>
      </c>
      <c r="I193" s="132">
        <v>-5.6119800000000204</v>
      </c>
    </row>
    <row r="194" spans="2:9" ht="15.75" thickBot="1">
      <c r="B194" s="383"/>
      <c r="C194" s="277" t="s">
        <v>174</v>
      </c>
      <c r="D194" s="218">
        <v>13.9518440000002</v>
      </c>
      <c r="E194" s="265">
        <v>-7.6466799999999502</v>
      </c>
      <c r="F194" s="218">
        <v>18.047319999999701</v>
      </c>
      <c r="G194" s="265">
        <v>-2.7298060000000399</v>
      </c>
      <c r="H194" s="218">
        <v>-2.3542599999998401</v>
      </c>
      <c r="I194" s="266">
        <v>2900.3807200000001</v>
      </c>
    </row>
    <row r="195" spans="2:9">
      <c r="C195" s="260"/>
      <c r="D195" s="230"/>
      <c r="E195" s="230"/>
      <c r="F195" s="230"/>
      <c r="G195" s="230"/>
      <c r="H195" s="230"/>
      <c r="I195" s="230"/>
    </row>
    <row r="196" spans="2:9" ht="15.75" thickBot="1">
      <c r="C196" s="260"/>
      <c r="D196" s="230"/>
      <c r="E196" s="230"/>
      <c r="F196" s="230"/>
      <c r="G196" s="230"/>
      <c r="H196" s="230"/>
      <c r="I196" s="230"/>
    </row>
    <row r="197" spans="2:9" ht="15.75" thickBot="1">
      <c r="C197" s="260"/>
      <c r="D197" s="282" t="s">
        <v>175</v>
      </c>
      <c r="E197" s="279" t="s">
        <v>176</v>
      </c>
      <c r="F197" s="280" t="s">
        <v>177</v>
      </c>
      <c r="G197" s="279" t="s">
        <v>178</v>
      </c>
      <c r="H197" s="280" t="s">
        <v>178</v>
      </c>
      <c r="I197" s="279" t="s">
        <v>179</v>
      </c>
    </row>
    <row r="198" spans="2:9">
      <c r="B198" s="383" t="s">
        <v>69</v>
      </c>
      <c r="C198" s="278" t="s">
        <v>175</v>
      </c>
      <c r="D198" s="270">
        <v>1233.6156000000001</v>
      </c>
      <c r="E198" s="273">
        <v>7.9933999999993803</v>
      </c>
      <c r="F198" s="272">
        <v>-5.9150599999998104</v>
      </c>
      <c r="G198" s="273">
        <v>-3.0754000000015398</v>
      </c>
      <c r="H198" s="272">
        <v>35.025199999999998</v>
      </c>
      <c r="I198" s="273">
        <v>-14.271999999999901</v>
      </c>
    </row>
    <row r="199" spans="2:9">
      <c r="B199" s="383"/>
      <c r="C199" s="231" t="s">
        <v>176</v>
      </c>
      <c r="D199" s="220">
        <v>11.0917999999995</v>
      </c>
      <c r="E199" s="269">
        <v>1229.9099000000001</v>
      </c>
      <c r="F199" s="263">
        <v>-11.915940000000001</v>
      </c>
      <c r="G199" s="215">
        <v>-21.337200000002198</v>
      </c>
      <c r="H199" s="263">
        <v>-8.3907399999999903</v>
      </c>
      <c r="I199" s="215">
        <v>19.179400000000001</v>
      </c>
    </row>
    <row r="200" spans="2:9">
      <c r="B200" s="383"/>
      <c r="C200" s="231" t="s">
        <v>177</v>
      </c>
      <c r="D200" s="220">
        <v>0.36700000000041699</v>
      </c>
      <c r="E200" s="215">
        <v>1.6675999999995399</v>
      </c>
      <c r="F200" s="262">
        <v>983.54903999999999</v>
      </c>
      <c r="G200" s="215">
        <v>-8.8618000000024004</v>
      </c>
      <c r="H200" s="263">
        <v>13.4339999999999</v>
      </c>
      <c r="I200" s="215">
        <v>-2.8975999999995601</v>
      </c>
    </row>
    <row r="201" spans="2:9">
      <c r="B201" s="383"/>
      <c r="C201" s="231" t="s">
        <v>180</v>
      </c>
      <c r="D201" s="220">
        <v>3.2994000000003298</v>
      </c>
      <c r="E201" s="268">
        <v>-12.346799999999799</v>
      </c>
      <c r="F201" s="263">
        <v>-20.721400000000099</v>
      </c>
      <c r="G201" s="269">
        <v>3939.3989999999999</v>
      </c>
      <c r="H201" s="263">
        <v>12.2376800000001</v>
      </c>
      <c r="I201" s="215">
        <v>-5.2721999999996596</v>
      </c>
    </row>
    <row r="202" spans="2:9">
      <c r="B202" s="383"/>
      <c r="C202" s="231" t="s">
        <v>178</v>
      </c>
      <c r="D202" s="271">
        <v>9.4317999999996101</v>
      </c>
      <c r="E202" s="215">
        <v>8.7750000000003201</v>
      </c>
      <c r="F202" s="263">
        <v>5.01512000000002</v>
      </c>
      <c r="G202" s="215">
        <v>24.4789999999971</v>
      </c>
      <c r="H202" s="262">
        <v>3972.90524</v>
      </c>
      <c r="I202" s="215">
        <v>4.9888000000005404</v>
      </c>
    </row>
    <row r="203" spans="2:9" ht="15.75" thickBot="1">
      <c r="B203" s="383"/>
      <c r="C203" s="232" t="s">
        <v>179</v>
      </c>
      <c r="D203" s="221">
        <v>1.3104000000003</v>
      </c>
      <c r="E203" s="218">
        <v>12.964399999998699</v>
      </c>
      <c r="F203" s="265">
        <v>2.8611000000000799</v>
      </c>
      <c r="G203" s="218">
        <v>-7.0600000000922605E-2</v>
      </c>
      <c r="H203" s="265">
        <v>-6.31496000000016</v>
      </c>
      <c r="I203" s="274">
        <v>2350.7464</v>
      </c>
    </row>
    <row r="205" spans="2:9" ht="15.75" thickBot="1">
      <c r="D205" s="397" t="s">
        <v>46</v>
      </c>
      <c r="E205" s="397"/>
      <c r="F205" s="397"/>
      <c r="G205" s="397"/>
      <c r="H205" s="397"/>
      <c r="I205" s="397"/>
    </row>
    <row r="206" spans="2:9" ht="15.75" thickBot="1">
      <c r="C206" s="260"/>
      <c r="D206" s="157" t="s">
        <v>49</v>
      </c>
      <c r="E206" s="158" t="s">
        <v>50</v>
      </c>
      <c r="F206" s="160" t="s">
        <v>51</v>
      </c>
      <c r="G206" s="159" t="s">
        <v>52</v>
      </c>
      <c r="H206" s="158" t="s">
        <v>53</v>
      </c>
      <c r="I206" s="160" t="s">
        <v>54</v>
      </c>
    </row>
    <row r="207" spans="2:9">
      <c r="B207" s="383" t="s">
        <v>69</v>
      </c>
      <c r="C207" s="275" t="s">
        <v>169</v>
      </c>
      <c r="D207" s="219">
        <v>1547.2966799999999</v>
      </c>
      <c r="E207" s="212">
        <v>-750.23173999999995</v>
      </c>
      <c r="F207" s="224">
        <v>-745.30664000000002</v>
      </c>
      <c r="G207" s="261">
        <v>26.877559999999999</v>
      </c>
      <c r="H207" s="212">
        <v>-0.63632000000075095</v>
      </c>
      <c r="I207" s="224">
        <v>-14.826940000000199</v>
      </c>
    </row>
    <row r="208" spans="2:9">
      <c r="B208" s="383"/>
      <c r="C208" s="276" t="s">
        <v>170</v>
      </c>
      <c r="D208" s="220">
        <v>40.829952000000098</v>
      </c>
      <c r="E208" s="215">
        <v>1285.75406</v>
      </c>
      <c r="F208" s="132">
        <v>-1312.1095399999999</v>
      </c>
      <c r="G208" s="263">
        <v>-5.2066800000002296</v>
      </c>
      <c r="H208" s="215">
        <v>13.067760000000099</v>
      </c>
      <c r="I208" s="132">
        <v>-11.7275799999999</v>
      </c>
    </row>
    <row r="209" spans="1:9">
      <c r="B209" s="383"/>
      <c r="C209" s="276" t="s">
        <v>171</v>
      </c>
      <c r="D209" s="220">
        <v>-1.1149000000001501</v>
      </c>
      <c r="E209" s="215">
        <v>-18.4819600000002</v>
      </c>
      <c r="F209" s="132">
        <v>-7.9125399999996899</v>
      </c>
      <c r="G209" s="263">
        <v>656.06334000000004</v>
      </c>
      <c r="H209" s="215">
        <v>644.69232</v>
      </c>
      <c r="I209" s="132">
        <v>638.31164000000001</v>
      </c>
    </row>
    <row r="210" spans="1:9">
      <c r="B210" s="383"/>
      <c r="C210" s="276" t="s">
        <v>172</v>
      </c>
      <c r="D210" s="220">
        <v>-15.0558800000001</v>
      </c>
      <c r="E210" s="215">
        <v>122.84358</v>
      </c>
      <c r="F210" s="132">
        <v>-149.17702</v>
      </c>
      <c r="G210" s="263">
        <v>-2548.4120600000001</v>
      </c>
      <c r="H210" s="215">
        <v>2160.6831200000001</v>
      </c>
      <c r="I210" s="132">
        <v>393.71976000000001</v>
      </c>
    </row>
    <row r="211" spans="1:9">
      <c r="B211" s="383"/>
      <c r="C211" s="276" t="s">
        <v>173</v>
      </c>
      <c r="D211" s="220">
        <v>-179.55866</v>
      </c>
      <c r="E211" s="215">
        <v>74.515739999999695</v>
      </c>
      <c r="F211" s="132">
        <v>67.399440000000297</v>
      </c>
      <c r="G211" s="263">
        <v>-1005.5492819999999</v>
      </c>
      <c r="H211" s="215">
        <v>-1691.9763600000001</v>
      </c>
      <c r="I211" s="132">
        <v>2709.2365199999999</v>
      </c>
    </row>
    <row r="212" spans="1:9" ht="15.75" thickBot="1">
      <c r="B212" s="383"/>
      <c r="C212" s="277" t="s">
        <v>174</v>
      </c>
      <c r="D212" s="221">
        <v>2858.1956799999998</v>
      </c>
      <c r="E212" s="218">
        <v>2773.3434600000001</v>
      </c>
      <c r="F212" s="135">
        <v>2786.96506</v>
      </c>
      <c r="G212" s="265">
        <v>15.5697600000001</v>
      </c>
      <c r="H212" s="218">
        <v>-5.6356400000007598</v>
      </c>
      <c r="I212" s="135">
        <v>16.9630000000001</v>
      </c>
    </row>
    <row r="213" spans="1:9">
      <c r="C213" s="260"/>
      <c r="D213" s="230"/>
      <c r="E213" s="230"/>
      <c r="F213" s="230"/>
      <c r="G213" s="230"/>
      <c r="H213" s="230"/>
      <c r="I213" s="230"/>
    </row>
    <row r="214" spans="1:9" ht="15.75" thickBot="1">
      <c r="C214" s="260"/>
      <c r="D214" s="397" t="s">
        <v>46</v>
      </c>
      <c r="E214" s="397"/>
      <c r="F214" s="397"/>
      <c r="G214" s="397"/>
      <c r="H214" s="397"/>
      <c r="I214" s="397"/>
    </row>
    <row r="215" spans="1:9" ht="15.75" thickBot="1">
      <c r="C215" s="260"/>
      <c r="D215" s="283" t="s">
        <v>55</v>
      </c>
      <c r="E215" s="286" t="s">
        <v>56</v>
      </c>
      <c r="F215" s="284" t="s">
        <v>57</v>
      </c>
      <c r="G215" s="283" t="s">
        <v>58</v>
      </c>
      <c r="H215" s="286" t="s">
        <v>59</v>
      </c>
      <c r="I215" s="285" t="s">
        <v>60</v>
      </c>
    </row>
    <row r="216" spans="1:9">
      <c r="B216" s="383" t="s">
        <v>69</v>
      </c>
      <c r="C216" s="275" t="s">
        <v>175</v>
      </c>
      <c r="D216" s="219">
        <v>656.98032000000001</v>
      </c>
      <c r="E216" s="212">
        <v>-1254.4047599999999</v>
      </c>
      <c r="F216" s="224">
        <v>610.31160000000102</v>
      </c>
      <c r="G216" s="261">
        <v>-15.4786000000001</v>
      </c>
      <c r="H216" s="212">
        <v>-6.7225799999998799</v>
      </c>
      <c r="I216" s="224">
        <v>64.088040000000603</v>
      </c>
    </row>
    <row r="217" spans="1:9">
      <c r="B217" s="383"/>
      <c r="C217" s="276" t="s">
        <v>176</v>
      </c>
      <c r="D217" s="220">
        <v>1050.3739399999999</v>
      </c>
      <c r="E217" s="215">
        <v>3.5850800000000902</v>
      </c>
      <c r="F217" s="132">
        <v>-1048.5486000000001</v>
      </c>
      <c r="G217" s="263">
        <v>29.951199999999702</v>
      </c>
      <c r="H217" s="215">
        <v>-13.95008</v>
      </c>
      <c r="I217" s="132">
        <v>30.3799000000006</v>
      </c>
    </row>
    <row r="218" spans="1:9">
      <c r="B218" s="383"/>
      <c r="C218" s="276" t="s">
        <v>177</v>
      </c>
      <c r="D218" s="220">
        <v>-16.540420000000001</v>
      </c>
      <c r="E218" s="215">
        <v>3.6732400000001899</v>
      </c>
      <c r="F218" s="132">
        <v>4.8855999999986999</v>
      </c>
      <c r="G218" s="263">
        <v>990.70791999999994</v>
      </c>
      <c r="H218" s="215">
        <v>971.40222000000097</v>
      </c>
      <c r="I218" s="132">
        <v>1018.23122</v>
      </c>
    </row>
    <row r="219" spans="1:9">
      <c r="B219" s="383"/>
      <c r="C219" s="276" t="s">
        <v>180</v>
      </c>
      <c r="D219" s="220">
        <v>-269.51723700000002</v>
      </c>
      <c r="E219" s="215">
        <v>4.0752400000002096</v>
      </c>
      <c r="F219" s="132">
        <v>261.10080000000102</v>
      </c>
      <c r="G219" s="263">
        <v>-2295.3200000000002</v>
      </c>
      <c r="H219" s="215">
        <v>2315.8228199999999</v>
      </c>
      <c r="I219" s="132">
        <v>-6.0519799999998396</v>
      </c>
    </row>
    <row r="220" spans="1:9">
      <c r="B220" s="383"/>
      <c r="C220" s="276" t="s">
        <v>178</v>
      </c>
      <c r="D220" s="220">
        <v>180.9198188</v>
      </c>
      <c r="E220" s="215">
        <v>-303.85147999999998</v>
      </c>
      <c r="F220" s="132">
        <v>157.373600000002</v>
      </c>
      <c r="G220" s="263">
        <v>-1403.3786</v>
      </c>
      <c r="H220" s="215">
        <v>-1294.3410799999999</v>
      </c>
      <c r="I220" s="132">
        <v>2737.8032199999998</v>
      </c>
    </row>
    <row r="221" spans="1:9" ht="15.75" thickBot="1">
      <c r="B221" s="383"/>
      <c r="C221" s="277" t="s">
        <v>179</v>
      </c>
      <c r="D221" s="221">
        <v>1627.6515400000001</v>
      </c>
      <c r="E221" s="218">
        <v>1646.54304</v>
      </c>
      <c r="F221" s="135">
        <v>1609.5914</v>
      </c>
      <c r="G221" s="265">
        <v>20.490400000001301</v>
      </c>
      <c r="H221" s="218">
        <v>2.2679599999996798</v>
      </c>
      <c r="I221" s="135">
        <v>37.111860000000902</v>
      </c>
    </row>
    <row r="224" spans="1:9" ht="15.75" thickBot="1">
      <c r="A224" s="101" t="s">
        <v>35</v>
      </c>
    </row>
    <row r="225" spans="1:5" ht="15.75" thickBot="1">
      <c r="A225" s="101" t="s">
        <v>210</v>
      </c>
      <c r="B225" s="103" t="s">
        <v>211</v>
      </c>
      <c r="C225" s="103" t="s">
        <v>212</v>
      </c>
      <c r="D225" s="103" t="s">
        <v>217</v>
      </c>
      <c r="E225" s="23"/>
    </row>
    <row r="226" spans="1:5">
      <c r="B226" s="89">
        <v>3</v>
      </c>
      <c r="C226" s="89">
        <v>600</v>
      </c>
      <c r="D226" s="27" t="s">
        <v>150</v>
      </c>
      <c r="E226" s="23"/>
    </row>
    <row r="227" spans="1:5">
      <c r="B227" s="56">
        <v>2</v>
      </c>
      <c r="C227" s="56">
        <v>200</v>
      </c>
      <c r="D227" s="21" t="s">
        <v>150</v>
      </c>
      <c r="E227" s="23"/>
    </row>
    <row r="228" spans="1:5">
      <c r="B228" s="56">
        <v>2</v>
      </c>
      <c r="C228" s="56">
        <v>10</v>
      </c>
      <c r="D228" s="21" t="s">
        <v>213</v>
      </c>
      <c r="E228" s="23"/>
    </row>
    <row r="229" spans="1:5">
      <c r="A229" t="s">
        <v>214</v>
      </c>
      <c r="B229" s="56">
        <v>1</v>
      </c>
      <c r="C229" s="56">
        <v>7.8</v>
      </c>
      <c r="D229" s="21" t="s">
        <v>213</v>
      </c>
      <c r="E229" s="23"/>
    </row>
    <row r="230" spans="1:5">
      <c r="A230" t="s">
        <v>215</v>
      </c>
      <c r="B230" s="56">
        <v>2</v>
      </c>
      <c r="C230" s="56">
        <v>4.5</v>
      </c>
      <c r="D230" s="21" t="s">
        <v>213</v>
      </c>
      <c r="E230" s="23"/>
    </row>
    <row r="231" spans="1:5" ht="15.75" thickBot="1">
      <c r="A231" t="s">
        <v>216</v>
      </c>
      <c r="B231" s="57">
        <v>2</v>
      </c>
      <c r="C231" s="57">
        <v>2.1</v>
      </c>
      <c r="D231" s="22" t="s">
        <v>213</v>
      </c>
      <c r="E231" s="23"/>
    </row>
    <row r="232" spans="1:5" ht="15.75" thickBot="1">
      <c r="B232" s="11"/>
      <c r="D232" s="23"/>
      <c r="E232" s="23"/>
    </row>
    <row r="233" spans="1:5" ht="15.75" thickBot="1">
      <c r="B233" s="178" t="s">
        <v>211</v>
      </c>
      <c r="C233" s="103" t="s">
        <v>212</v>
      </c>
      <c r="D233" s="179"/>
      <c r="E233" s="103" t="s">
        <v>217</v>
      </c>
    </row>
    <row r="234" spans="1:5">
      <c r="B234" s="79">
        <v>3</v>
      </c>
      <c r="C234" s="89">
        <f>600*0.45359237</f>
        <v>272.15542199999999</v>
      </c>
      <c r="D234" s="206">
        <f>B234*C234</f>
        <v>816.46626599999991</v>
      </c>
      <c r="E234" s="27" t="s">
        <v>213</v>
      </c>
    </row>
    <row r="235" spans="1:5">
      <c r="B235" s="77">
        <v>2</v>
      </c>
      <c r="C235" s="56">
        <f>200*0.45359237</f>
        <v>90.718474000000001</v>
      </c>
      <c r="D235" s="84">
        <f t="shared" ref="D235:D239" si="10">B235*C235</f>
        <v>181.436948</v>
      </c>
      <c r="E235" s="21" t="s">
        <v>213</v>
      </c>
    </row>
    <row r="236" spans="1:5">
      <c r="B236" s="77">
        <v>2</v>
      </c>
      <c r="C236" s="56">
        <v>10</v>
      </c>
      <c r="D236" s="84">
        <f t="shared" si="10"/>
        <v>20</v>
      </c>
      <c r="E236" s="21" t="s">
        <v>213</v>
      </c>
    </row>
    <row r="237" spans="1:5">
      <c r="B237" s="77">
        <v>1</v>
      </c>
      <c r="C237" s="56">
        <v>7.8</v>
      </c>
      <c r="D237" s="84">
        <f t="shared" si="10"/>
        <v>7.8</v>
      </c>
      <c r="E237" s="21" t="s">
        <v>213</v>
      </c>
    </row>
    <row r="238" spans="1:5">
      <c r="B238" s="77">
        <v>2</v>
      </c>
      <c r="C238" s="56">
        <v>4.5</v>
      </c>
      <c r="D238" s="84">
        <f t="shared" si="10"/>
        <v>9</v>
      </c>
      <c r="E238" s="21" t="s">
        <v>213</v>
      </c>
    </row>
    <row r="239" spans="1:5" ht="15.75" thickBot="1">
      <c r="B239" s="78">
        <v>2</v>
      </c>
      <c r="C239" s="57">
        <v>2.1</v>
      </c>
      <c r="D239" s="85">
        <f t="shared" si="10"/>
        <v>4.2</v>
      </c>
      <c r="E239" s="22" t="s">
        <v>213</v>
      </c>
    </row>
    <row r="240" spans="1:5">
      <c r="B240" s="11"/>
      <c r="D240" s="292">
        <f>SUM(D234:D239)</f>
        <v>1038.9032139999999</v>
      </c>
      <c r="E240" s="23" t="s">
        <v>213</v>
      </c>
    </row>
    <row r="243" spans="1:4">
      <c r="A243" s="101" t="s">
        <v>34</v>
      </c>
    </row>
    <row r="244" spans="1:4">
      <c r="A244" s="101" t="s">
        <v>210</v>
      </c>
    </row>
    <row r="246" spans="1:4">
      <c r="A246" t="s">
        <v>218</v>
      </c>
      <c r="B246" s="10">
        <v>12</v>
      </c>
      <c r="C246" s="23" t="s">
        <v>150</v>
      </c>
    </row>
    <row r="247" spans="1:4">
      <c r="A247" t="s">
        <v>219</v>
      </c>
      <c r="B247" s="10">
        <v>10</v>
      </c>
      <c r="C247" s="23" t="s">
        <v>150</v>
      </c>
    </row>
    <row r="248" spans="1:4">
      <c r="A248" t="s">
        <v>220</v>
      </c>
      <c r="B248" s="10">
        <v>10</v>
      </c>
      <c r="C248" s="23" t="s">
        <v>150</v>
      </c>
    </row>
    <row r="249" spans="1:4" ht="15.75" thickBot="1"/>
    <row r="250" spans="1:4" ht="15.75" thickBot="1">
      <c r="B250" s="368" t="s">
        <v>34</v>
      </c>
      <c r="C250" s="369"/>
      <c r="D250" s="370"/>
    </row>
    <row r="251" spans="1:4" ht="15.75" thickBot="1">
      <c r="B251" s="320" t="s">
        <v>288</v>
      </c>
      <c r="C251" s="158" t="s">
        <v>289</v>
      </c>
      <c r="D251" s="160" t="s">
        <v>309</v>
      </c>
    </row>
    <row r="252" spans="1:4">
      <c r="B252" s="79" t="s">
        <v>290</v>
      </c>
      <c r="C252" s="90">
        <v>12</v>
      </c>
      <c r="D252" s="324">
        <f>C252*0.458</f>
        <v>5.4960000000000004</v>
      </c>
    </row>
    <row r="253" spans="1:4">
      <c r="B253" s="77" t="s">
        <v>291</v>
      </c>
      <c r="C253" s="56">
        <v>25.5</v>
      </c>
      <c r="D253" s="325">
        <f t="shared" ref="D253:D257" si="11">C253*0.458</f>
        <v>11.679</v>
      </c>
    </row>
    <row r="254" spans="1:4">
      <c r="B254" s="42" t="s">
        <v>292</v>
      </c>
      <c r="C254" s="56">
        <v>12</v>
      </c>
      <c r="D254" s="325">
        <f t="shared" si="11"/>
        <v>5.4960000000000004</v>
      </c>
    </row>
    <row r="255" spans="1:4">
      <c r="B255" s="42" t="s">
        <v>293</v>
      </c>
      <c r="C255" s="56">
        <v>5.5</v>
      </c>
      <c r="D255" s="325">
        <f t="shared" si="11"/>
        <v>2.5190000000000001</v>
      </c>
    </row>
    <row r="256" spans="1:4">
      <c r="B256" s="42" t="s">
        <v>294</v>
      </c>
      <c r="C256" s="56">
        <v>12</v>
      </c>
      <c r="D256" s="325">
        <f t="shared" si="11"/>
        <v>5.4960000000000004</v>
      </c>
    </row>
    <row r="257" spans="1:4" ht="15.75" thickBot="1">
      <c r="B257" s="321" t="s">
        <v>295</v>
      </c>
      <c r="C257" s="155">
        <v>11.5</v>
      </c>
      <c r="D257" s="326">
        <f t="shared" si="11"/>
        <v>5.2670000000000003</v>
      </c>
    </row>
    <row r="258" spans="1:4" ht="15.75" thickBot="1">
      <c r="B258" s="322" t="s">
        <v>308</v>
      </c>
      <c r="C258" s="323">
        <f>SUM(C252:C257)</f>
        <v>78.5</v>
      </c>
      <c r="D258" s="327">
        <f>SUM(D252:D257)</f>
        <v>35.953000000000003</v>
      </c>
    </row>
    <row r="260" spans="1:4" ht="15.75" thickBot="1"/>
    <row r="261" spans="1:4" ht="15.75" thickBot="1">
      <c r="A261" s="348" t="s">
        <v>18</v>
      </c>
      <c r="B261" s="103" t="s">
        <v>367</v>
      </c>
    </row>
    <row r="262" spans="1:4">
      <c r="A262" s="94" t="s">
        <v>355</v>
      </c>
      <c r="B262" s="364">
        <v>1.0085585947085201</v>
      </c>
    </row>
    <row r="263" spans="1:4">
      <c r="A263" s="105" t="s">
        <v>356</v>
      </c>
      <c r="B263" s="365">
        <v>0.99999534146109503</v>
      </c>
      <c r="C263" s="10"/>
      <c r="D263" s="11"/>
    </row>
    <row r="264" spans="1:4">
      <c r="A264" s="105" t="s">
        <v>357</v>
      </c>
      <c r="B264" s="366">
        <v>0.99159001943935199</v>
      </c>
    </row>
    <row r="265" spans="1:4">
      <c r="A265" s="105" t="s">
        <v>358</v>
      </c>
      <c r="B265" s="366">
        <v>0.98855581232616796</v>
      </c>
    </row>
    <row r="266" spans="1:4">
      <c r="A266" s="105" t="s">
        <v>359</v>
      </c>
      <c r="B266" s="366">
        <v>1.0016858821657899</v>
      </c>
    </row>
    <row r="267" spans="1:4">
      <c r="A267" s="105" t="s">
        <v>360</v>
      </c>
      <c r="B267" s="366">
        <v>1.0099924905346001</v>
      </c>
    </row>
    <row r="268" spans="1:4">
      <c r="A268" s="105" t="s">
        <v>361</v>
      </c>
      <c r="B268" s="366">
        <v>0.98964257495139496</v>
      </c>
    </row>
    <row r="269" spans="1:4">
      <c r="A269" s="105" t="s">
        <v>362</v>
      </c>
      <c r="B269" s="366">
        <v>0.98952549818298496</v>
      </c>
    </row>
    <row r="270" spans="1:4">
      <c r="A270" s="105" t="s">
        <v>363</v>
      </c>
      <c r="B270" s="366">
        <v>1.02150388505585</v>
      </c>
    </row>
    <row r="271" spans="1:4">
      <c r="A271" s="105" t="s">
        <v>364</v>
      </c>
      <c r="B271" s="366">
        <v>1.0014708262760299</v>
      </c>
    </row>
    <row r="272" spans="1:4">
      <c r="A272" s="105" t="s">
        <v>365</v>
      </c>
      <c r="B272" s="366">
        <v>1.0079948916555099</v>
      </c>
    </row>
    <row r="273" spans="1:2" ht="15.75" thickBot="1">
      <c r="A273" s="95" t="s">
        <v>366</v>
      </c>
      <c r="B273" s="367">
        <v>0.99068739341286705</v>
      </c>
    </row>
  </sheetData>
  <mergeCells count="46">
    <mergeCell ref="D205:I205"/>
    <mergeCell ref="B207:B212"/>
    <mergeCell ref="D214:I214"/>
    <mergeCell ref="B216:B221"/>
    <mergeCell ref="A8:B8"/>
    <mergeCell ref="A9:B9"/>
    <mergeCell ref="A10:B10"/>
    <mergeCell ref="F87:G87"/>
    <mergeCell ref="D168:I168"/>
    <mergeCell ref="B170:B175"/>
    <mergeCell ref="D178:I178"/>
    <mergeCell ref="B180:B185"/>
    <mergeCell ref="B189:B194"/>
    <mergeCell ref="B198:B203"/>
    <mergeCell ref="A138:A143"/>
    <mergeCell ref="E138:E140"/>
    <mergeCell ref="O87:P87"/>
    <mergeCell ref="E141:E143"/>
    <mergeCell ref="B147:E147"/>
    <mergeCell ref="A132:A137"/>
    <mergeCell ref="E132:E134"/>
    <mergeCell ref="E135:E137"/>
    <mergeCell ref="D86:E86"/>
    <mergeCell ref="B87:C87"/>
    <mergeCell ref="D87:E87"/>
    <mergeCell ref="A20:B20"/>
    <mergeCell ref="A23:B23"/>
    <mergeCell ref="E23:F23"/>
    <mergeCell ref="A73:B73"/>
    <mergeCell ref="C73:D73"/>
    <mergeCell ref="B250:D250"/>
    <mergeCell ref="A19:B19"/>
    <mergeCell ref="A11:B12"/>
    <mergeCell ref="A13:B13"/>
    <mergeCell ref="A4:B4"/>
    <mergeCell ref="A5:B5"/>
    <mergeCell ref="A6:B6"/>
    <mergeCell ref="A7:B7"/>
    <mergeCell ref="A14:B14"/>
    <mergeCell ref="A15:B15"/>
    <mergeCell ref="A16:B16"/>
    <mergeCell ref="A17:B17"/>
    <mergeCell ref="A18:B18"/>
    <mergeCell ref="B79:C79"/>
    <mergeCell ref="D79:E79"/>
    <mergeCell ref="B86:C8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Staging building</vt:lpstr>
      <vt:lpstr>LVEA</vt:lpstr>
    </vt:vector>
  </TitlesOfParts>
  <Company>LIGO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vincent.lhullier</dc:creator>
  <cp:lastModifiedBy>vincent.lhuillier</cp:lastModifiedBy>
  <dcterms:created xsi:type="dcterms:W3CDTF">2011-02-01T00:26:59Z</dcterms:created>
  <dcterms:modified xsi:type="dcterms:W3CDTF">2011-09-22T17:57:34Z</dcterms:modified>
</cp:coreProperties>
</file>