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4820" windowHeight="8970" activeTab="2"/>
  </bookViews>
  <sheets>
    <sheet name="changes" sheetId="1" r:id="rId1"/>
    <sheet name="HC outgas per system" sheetId="2" r:id="rId2"/>
    <sheet name="HC outgas budget" sheetId="3" r:id="rId3"/>
    <sheet name="RGA Results" sheetId="4" r:id="rId4"/>
    <sheet name="UHV bake ovens" sheetId="5" r:id="rId5"/>
  </sheets>
  <definedNames/>
  <calcPr fullCalcOnLoad="1"/>
</workbook>
</file>

<file path=xl/comments3.xml><?xml version="1.0" encoding="utf-8"?>
<comments xmlns="http://schemas.openxmlformats.org/spreadsheetml/2006/main">
  <authors>
    <author>Dennis Coyne</author>
  </authors>
  <commentList>
    <comment ref="E14" authorId="0">
      <text>
        <r>
          <rPr>
            <b/>
            <sz val="10"/>
            <rFont val="Tahoma"/>
            <family val="0"/>
          </rPr>
          <t>Dennis Coyne:
There are a number of different cables -- here they are all subsummed into an equivalent prototypical cable</t>
        </r>
        <r>
          <rPr>
            <sz val="10"/>
            <rFont val="Tahoma"/>
            <family val="0"/>
          </rPr>
          <t xml:space="preserve">
- this is a 24 conductor cable
- each quad SUS needs 348 conductors (old estimate; may be somewhat less now)
- each SEI needs 180 conductors (of different gauges and some are coax)
- I'll assume that a triple requires ~3/4 x 348 = 260 conductors
4k Corner Volume:
H1, H2, H3, B1, B2, B3: 6 triple SUS, 3 quad SUS and 8 SEI units, or 4044 conductors which is roughly equivalent to 168 cables each with 24 conductors
2k Corner Volume:
same as 4k, except additional 2 quad SUS (FMs)
equivalent to 197 cables
end station volume:
1 SEI, 1 quad, or equivalent to 22 cables
</t>
        </r>
      </text>
    </comment>
  </commentList>
</comments>
</file>

<file path=xl/sharedStrings.xml><?xml version="1.0" encoding="utf-8"?>
<sst xmlns="http://schemas.openxmlformats.org/spreadsheetml/2006/main" count="428" uniqueCount="255">
  <si>
    <t>Material</t>
  </si>
  <si>
    <t>Quantity</t>
  </si>
  <si>
    <t>4k corner</t>
  </si>
  <si>
    <t>end station</t>
  </si>
  <si>
    <t>2k corner</t>
  </si>
  <si>
    <t>(torr)</t>
  </si>
  <si>
    <t>allocated max HC partical pressure</t>
  </si>
  <si>
    <t>(torr-liter/sec/m^2)</t>
  </si>
  <si>
    <t>max HC outgassing rate</t>
  </si>
  <si>
    <t>System</t>
  </si>
  <si>
    <t>SEI</t>
  </si>
  <si>
    <t>Actuator, Large</t>
  </si>
  <si>
    <t>epoxy</t>
  </si>
  <si>
    <t>akadized aluminum</t>
  </si>
  <si>
    <t>polyimide potting</t>
  </si>
  <si>
    <t>Actuator, Small</t>
  </si>
  <si>
    <t>Capacitive Sensor</t>
  </si>
  <si>
    <t>PTFE wire &amp; connectors</t>
  </si>
  <si>
    <t>epoxy (2902, 2151)</t>
  </si>
  <si>
    <t>Cabling</t>
  </si>
  <si>
    <t>kapton, peek</t>
  </si>
  <si>
    <t>SUS</t>
  </si>
  <si>
    <t>aluminum, air baked, FTIR</t>
  </si>
  <si>
    <t>Relative HC Outgas Rating</t>
  </si>
  <si>
    <t>2k</t>
  </si>
  <si>
    <t>4k</t>
  </si>
  <si>
    <t>VAC</t>
  </si>
  <si>
    <t>viton</t>
  </si>
  <si>
    <t>oven pump rate (l/s)</t>
  </si>
  <si>
    <t>OSEM, aluminum</t>
  </si>
  <si>
    <t>PFA 440HP washers</t>
  </si>
  <si>
    <t>kapton coil wire</t>
  </si>
  <si>
    <t>assembly</t>
  </si>
  <si>
    <t>assembly (alumina, ceramabond, solder, etc.)</t>
  </si>
  <si>
    <t>OSEM, alumina</t>
  </si>
  <si>
    <t>EQ Stops</t>
  </si>
  <si>
    <t>Fiber damping goop</t>
  </si>
  <si>
    <t xml:space="preserve">Teflon AF amorphous type 1601 </t>
  </si>
  <si>
    <t>Teflon PFA 440HP washers</t>
  </si>
  <si>
    <t>#</t>
  </si>
  <si>
    <t>OSEM cables</t>
  </si>
  <si>
    <t>vacseal</t>
  </si>
  <si>
    <t>magnet assy., upper</t>
  </si>
  <si>
    <t>magnet assy., lower</t>
  </si>
  <si>
    <t>annulus seals</t>
  </si>
  <si>
    <t>end sta.</t>
  </si>
  <si>
    <t>Area (ea.)</t>
  </si>
  <si>
    <t>(m^2)</t>
  </si>
  <si>
    <t>envelope</t>
  </si>
  <si>
    <t>stainless steel 304L</t>
  </si>
  <si>
    <t>aluminum, UHV backed, RGA</t>
  </si>
  <si>
    <t>structure/assy., quad</t>
  </si>
  <si>
    <t>structure/assy., triple</t>
  </si>
  <si>
    <t>structure/assy., single</t>
  </si>
  <si>
    <t>IO</t>
  </si>
  <si>
    <t>Faraday Isolator</t>
  </si>
  <si>
    <t>assembly (aluminum, stainless steel, etc.)</t>
  </si>
  <si>
    <t>relay mirrors &amp; mounts</t>
  </si>
  <si>
    <t>viewports</t>
  </si>
  <si>
    <t>assembly (304 SS, Cu, FS, etc.)</t>
  </si>
  <si>
    <t>AOS</t>
  </si>
  <si>
    <t>Pick-off mirror assy.</t>
  </si>
  <si>
    <t>beam dump assy.</t>
  </si>
  <si>
    <t>arm cavity baffle assy.</t>
  </si>
  <si>
    <t>beam reducing telescope</t>
  </si>
  <si>
    <t>active thermal compensator</t>
  </si>
  <si>
    <t>assembly (nichrome wire, SS, Alu, kapton/peek)</t>
  </si>
  <si>
    <t>ISC</t>
  </si>
  <si>
    <t>in-vacuum PD</t>
  </si>
  <si>
    <t>assembly (kapton/peek, SS, Alu, ceramic, Si)</t>
  </si>
  <si>
    <t>Note</t>
  </si>
  <si>
    <t>Notes:</t>
  </si>
  <si>
    <t>New twisted, shielded cables (kapton insulated, peek connectors) = 3.0e-11 t-l/s</t>
  </si>
  <si>
    <t>Initial LIGO kapton ribbon cables (peek connectors), 25 conductor, 25 ft long = 1.7e-11 t-l/s/unit (E980274)</t>
  </si>
  <si>
    <t xml:space="preserve">D96LOS height adaptor (SS structure) </t>
  </si>
  <si>
    <t>D960145</t>
  </si>
  <si>
    <t>LOS Height adaptor</t>
  </si>
  <si>
    <t>E980238</t>
  </si>
  <si>
    <t>Part Number</t>
  </si>
  <si>
    <t>Title</t>
  </si>
  <si>
    <t>Description (materials)</t>
  </si>
  <si>
    <t>welded assembly (SS 304)</t>
  </si>
  <si>
    <t>RGA</t>
  </si>
  <si>
    <t>Reference</t>
  </si>
  <si>
    <t>torr-liter/sec/unit</t>
  </si>
  <si>
    <t>oven</t>
  </si>
  <si>
    <t>VSA</t>
  </si>
  <si>
    <t>D972216</t>
  </si>
  <si>
    <t>machined plate (alu 6061)</t>
  </si>
  <si>
    <t>E980284</t>
  </si>
  <si>
    <t>A</t>
  </si>
  <si>
    <t>D972611</t>
  </si>
  <si>
    <t>SEI Stack Shim</t>
  </si>
  <si>
    <t>HAM Bellows</t>
  </si>
  <si>
    <t>E980252</t>
  </si>
  <si>
    <t>Ribbon Cables</t>
  </si>
  <si>
    <t>25 ft. long, 25-pin, D-type (kapton, peek)</t>
  </si>
  <si>
    <t>E980274</t>
  </si>
  <si>
    <t>E980265</t>
  </si>
  <si>
    <t>included other misc. metal parts</t>
  </si>
  <si>
    <t>METALS</t>
  </si>
  <si>
    <t>D972220</t>
  </si>
  <si>
    <t>Coil Spring Seat</t>
  </si>
  <si>
    <t>D</t>
  </si>
  <si>
    <t>E980253</t>
  </si>
  <si>
    <t>E980226</t>
  </si>
  <si>
    <t>D980237-1, D980238-3</t>
  </si>
  <si>
    <t>Cable Clamp, Liners</t>
  </si>
  <si>
    <t>included flourel cable clamp liners</t>
  </si>
  <si>
    <t>E980154</t>
  </si>
  <si>
    <t>T970168-01</t>
  </si>
  <si>
    <t>E980223</t>
  </si>
  <si>
    <t>included flourel stack shims (D972714)</t>
  </si>
  <si>
    <t>E980121</t>
  </si>
  <si>
    <t>E980296</t>
  </si>
  <si>
    <t>torr-liter/sec/m^2</t>
  </si>
  <si>
    <t>Flourel</t>
  </si>
  <si>
    <t>Kapton</t>
  </si>
  <si>
    <t>PTFE</t>
  </si>
  <si>
    <t>D?</t>
  </si>
  <si>
    <t>Sensor/Actuator Cables</t>
  </si>
  <si>
    <t>kunert wire, teflon insulated</t>
  </si>
  <si>
    <t>E980276</t>
  </si>
  <si>
    <t>C</t>
  </si>
  <si>
    <t>MDC KAP-R25-300C-SP</t>
  </si>
  <si>
    <t>E990117</t>
  </si>
  <si>
    <t>Earthquake stop tips</t>
  </si>
  <si>
    <t>E990186</t>
  </si>
  <si>
    <t>pods, blades, hardware</t>
  </si>
  <si>
    <t>aluminum, SS</t>
  </si>
  <si>
    <t>structure</t>
  </si>
  <si>
    <t>~ qty per bake load
qualification</t>
  </si>
  <si>
    <t>e</t>
  </si>
  <si>
    <t>units</t>
  </si>
  <si>
    <t>loads</t>
  </si>
  <si>
    <t>(torr-l/s/unit)</t>
  </si>
  <si>
    <t>(torr-l/s/m^2)</t>
  </si>
  <si>
    <t>measured HC
outgassing rate</t>
  </si>
  <si>
    <t>Min UHV oven Qty bake/RGA</t>
  </si>
  <si>
    <t>only 4 units in the test; used pressure above background, instead of abslute pressure</t>
  </si>
  <si>
    <t>outlier?</t>
  </si>
  <si>
    <t># units</t>
  </si>
  <si>
    <t>m^2</t>
  </si>
  <si>
    <t>l/s</t>
  </si>
  <si>
    <t>HC sum (torr)</t>
  </si>
  <si>
    <t>E980206</t>
  </si>
  <si>
    <t>see E980253</t>
  </si>
  <si>
    <t>E980216</t>
  </si>
  <si>
    <t>D972714</t>
  </si>
  <si>
    <t>Flourel Shim</t>
  </si>
  <si>
    <t>see E980223</t>
  </si>
  <si>
    <t>E980222</t>
  </si>
  <si>
    <t>10 production samples</t>
  </si>
  <si>
    <t>E980298</t>
  </si>
  <si>
    <t>?</t>
  </si>
  <si>
    <t>E990010</t>
  </si>
  <si>
    <t>~1200</t>
  </si>
  <si>
    <t>T ( C )</t>
  </si>
  <si>
    <t xml:space="preserve"> - </t>
  </si>
  <si>
    <t xml:space="preserve"> -</t>
  </si>
  <si>
    <t>40 cables, 500 small teflon washers, 115 PAM brackets</t>
  </si>
  <si>
    <t>E980159</t>
  </si>
  <si>
    <t>37 cables, 36 alumina OSEM heads, plus lots misc small SUS parts</t>
  </si>
  <si>
    <t>OSEM Head Assemblies</t>
  </si>
  <si>
    <t>D970617</t>
  </si>
  <si>
    <t>PAM Bracket</t>
  </si>
  <si>
    <t>teflon</t>
  </si>
  <si>
    <t>E980332</t>
  </si>
  <si>
    <t>see E980276</t>
  </si>
  <si>
    <t>D960138, D960011</t>
  </si>
  <si>
    <t>LOS &amp; SOS OSEM head assy</t>
  </si>
  <si>
    <t>see E980159 (with cables)</t>
  </si>
  <si>
    <t>E980158</t>
  </si>
  <si>
    <t>E990148, E990121</t>
  </si>
  <si>
    <t>20 long, 19 short OSEMs, 750 small teflon washers</t>
  </si>
  <si>
    <t>SiO2/Mo head with teflon tape, teflon wire</t>
  </si>
  <si>
    <t>E990158</t>
  </si>
  <si>
    <t>no PD, no LED, with 25 LOS wire standoffs (fused silica)</t>
  </si>
  <si>
    <t>PN 450009</t>
  </si>
  <si>
    <t>10" OD Del-Seal Flange (VP800), 7056 uncoated glass</t>
  </si>
  <si>
    <t>E980169</t>
  </si>
  <si>
    <t>with 4 12" 3-way adaptors and misc HW</t>
  </si>
  <si>
    <t>MDC VP800-AR1064nm-SP</t>
  </si>
  <si>
    <t>10" OD Del-Seal Flange (VP800), 7056 glass with 1064nm AR coating</t>
  </si>
  <si>
    <t>E980180</t>
  </si>
  <si>
    <t>MDC VP800-AR635nm-SP</t>
  </si>
  <si>
    <t>10" OD Del-Seal Flange (VP800), 7056 glass with 635nm AR coating</t>
  </si>
  <si>
    <t>E980182</t>
  </si>
  <si>
    <t>16 viewports with 53 dual 25-pin D-conn feedthroughs</t>
  </si>
  <si>
    <t>Viewports &amp; feedthroughs</t>
  </si>
  <si>
    <t>ISI PN 9722012</t>
  </si>
  <si>
    <t>10" OD Del-Seal Flange (VP800), FS with 635nm AR coating</t>
  </si>
  <si>
    <t>E980183</t>
  </si>
  <si>
    <t>15?</t>
  </si>
  <si>
    <t>3 on load#267, 12 on load#273 -- why so high? Why 15 liters/sec?</t>
  </si>
  <si>
    <t>E980299</t>
  </si>
  <si>
    <t>with 5 height adaptors, misc. HW</t>
  </si>
  <si>
    <t>oven RGA HC background (torr-l/s)</t>
  </si>
  <si>
    <t>oven RGA HC background (torr)</t>
  </si>
  <si>
    <t>Sum(Qty * HC Rating)</t>
  </si>
  <si>
    <t>HC partial press (torr):</t>
  </si>
  <si>
    <t>max HC press (torr):</t>
  </si>
  <si>
    <t>min</t>
  </si>
  <si>
    <t>max</t>
  </si>
  <si>
    <t>SYS</t>
  </si>
  <si>
    <t>margin</t>
  </si>
  <si>
    <t>Kapton ribbon cable</t>
  </si>
  <si>
    <t>Axon (France), 6000 cm^2 kapton insulaiton plus adhesive</t>
  </si>
  <si>
    <t>Axon (France) ribbon cable</t>
  </si>
  <si>
    <t>T990072</t>
  </si>
  <si>
    <t>Virgo</t>
  </si>
  <si>
    <t>flourel per spec E970130-A</t>
  </si>
  <si>
    <t>Vacuum Bake Ovens</t>
  </si>
  <si>
    <t>Location</t>
  </si>
  <si>
    <t>Designation</t>
  </si>
  <si>
    <t>Dia.</t>
  </si>
  <si>
    <t>(m)</t>
  </si>
  <si>
    <t>Length</t>
  </si>
  <si>
    <t>Area</t>
  </si>
  <si>
    <t>Pump Speed</t>
  </si>
  <si>
    <t>(l/s)</t>
  </si>
  <si>
    <t>Caltech</t>
  </si>
  <si>
    <t>B</t>
  </si>
  <si>
    <t>Notes</t>
  </si>
  <si>
    <t>new 1</t>
  </si>
  <si>
    <t>new 2</t>
  </si>
  <si>
    <t>MIT</t>
  </si>
  <si>
    <t>MTC</t>
  </si>
  <si>
    <t>decomissioned long ago</t>
  </si>
  <si>
    <t>LHO</t>
  </si>
  <si>
    <t>LLO</t>
  </si>
  <si>
    <t>Virgo (Pisa)</t>
  </si>
  <si>
    <t>LHO-A</t>
  </si>
  <si>
    <t>46" length can be increased to 60"</t>
  </si>
  <si>
    <t>LLO-A</t>
  </si>
  <si>
    <t>approx. pump rate inferred from Virgo report</t>
  </si>
  <si>
    <t>Component or Assembly</t>
  </si>
  <si>
    <t>OSEM cables assumed to be made from Kapton/PEEK (not teflon as in initial LIGO); scaled measurement by length (2' vs 25')</t>
  </si>
  <si>
    <t>Hydrocarbon Residual Gas Budget by Component</t>
  </si>
  <si>
    <t>Hydrocarbon Residual Gas Budget by Subsystem</t>
  </si>
  <si>
    <t>end</t>
  </si>
  <si>
    <t>Total</t>
  </si>
  <si>
    <t>Seismic Isolation (SEI)</t>
  </si>
  <si>
    <t>Vacuum (VAC)</t>
  </si>
  <si>
    <t>Suspension (SUS)</t>
  </si>
  <si>
    <t>Input Optics (IO)</t>
  </si>
  <si>
    <t>Auxiliary Optics (AOS)</t>
  </si>
  <si>
    <t>Interferometer Sensing &amp; Control (ISC)</t>
  </si>
  <si>
    <t>System (SYS)</t>
  </si>
  <si>
    <t>IO suspensions are under SUS</t>
  </si>
  <si>
    <t>includes COC</t>
  </si>
  <si>
    <t>max partial pressure sum for HC Flags (torr)</t>
  </si>
  <si>
    <t>measured at &lt; 6E-13 torr</t>
  </si>
  <si>
    <t>1) cable count has grown enormously. Had estimated a total of 1161 cables (SEI &amp; SUS) total for 3 IFOs</t>
  </si>
  <si>
    <t>Jun-2011 estimate is 2260 total cables per HI, H2 and L1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</si>
</sst>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0"/>
  </numFmts>
  <fonts count="45">
    <font>
      <sz val="10"/>
      <name val="Arial"/>
      <family val="0"/>
    </font>
    <font>
      <b/>
      <sz val="14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6.7109375" style="0" customWidth="1"/>
  </cols>
  <sheetData>
    <row r="2" ht="12.75">
      <c r="A2" s="34" t="s">
        <v>253</v>
      </c>
    </row>
    <row r="3" ht="12.75">
      <c r="A3" s="34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2.421875" style="0" customWidth="1"/>
    <col min="2" max="4" width="12.7109375" style="5" customWidth="1"/>
    <col min="5" max="5" width="27.57421875" style="0" customWidth="1"/>
  </cols>
  <sheetData>
    <row r="1" ht="18">
      <c r="A1" s="27" t="s">
        <v>239</v>
      </c>
    </row>
    <row r="3" spans="2:4" ht="12.75">
      <c r="B3" s="35" t="s">
        <v>251</v>
      </c>
      <c r="C3" s="35"/>
      <c r="D3" s="35"/>
    </row>
    <row r="4" spans="2:5" ht="12.75">
      <c r="B4" s="29" t="s">
        <v>3</v>
      </c>
      <c r="C4" s="29" t="s">
        <v>4</v>
      </c>
      <c r="D4" s="29" t="s">
        <v>2</v>
      </c>
      <c r="E4" s="32" t="s">
        <v>223</v>
      </c>
    </row>
    <row r="5" spans="1:5" ht="12.75">
      <c r="A5" s="28" t="s">
        <v>9</v>
      </c>
      <c r="B5" s="29" t="s">
        <v>5</v>
      </c>
      <c r="C5" s="29" t="s">
        <v>5</v>
      </c>
      <c r="D5" s="30" t="s">
        <v>5</v>
      </c>
      <c r="E5" s="28"/>
    </row>
    <row r="6" spans="1:5" ht="12.75">
      <c r="A6" s="28" t="s">
        <v>242</v>
      </c>
      <c r="B6" s="13">
        <f>'HC outgas budget'!X44</f>
        <v>1.9071802662615446E-12</v>
      </c>
      <c r="C6" s="13">
        <f>'HC outgas budget'!X45</f>
        <v>1.7296707668843873E-12</v>
      </c>
      <c r="D6" s="31">
        <f>'HC outgas budget'!X46</f>
        <v>1.8015467360354346E-12</v>
      </c>
      <c r="E6" s="28"/>
    </row>
    <row r="7" spans="1:5" ht="12.75">
      <c r="A7" s="28" t="s">
        <v>243</v>
      </c>
      <c r="B7" s="13">
        <f>'HC outgas budget'!Y44</f>
        <v>0</v>
      </c>
      <c r="C7" s="13">
        <f>'HC outgas budget'!Y45</f>
        <v>0</v>
      </c>
      <c r="D7" s="31">
        <f>'HC outgas budget'!Y46</f>
        <v>0</v>
      </c>
      <c r="E7" s="28" t="s">
        <v>252</v>
      </c>
    </row>
    <row r="8" spans="1:5" ht="12.75">
      <c r="A8" s="28" t="s">
        <v>244</v>
      </c>
      <c r="B8" s="13">
        <f>'HC outgas budget'!Z44</f>
        <v>2.5213289089673374E-13</v>
      </c>
      <c r="C8" s="13">
        <f>'HC outgas budget'!Z45</f>
        <v>4.370693942508539E-13</v>
      </c>
      <c r="D8" s="31">
        <f>'HC outgas budget'!Z46</f>
        <v>3.6322810841213494E-13</v>
      </c>
      <c r="E8" s="28" t="s">
        <v>250</v>
      </c>
    </row>
    <row r="9" spans="1:5" ht="12.75">
      <c r="A9" s="28" t="s">
        <v>245</v>
      </c>
      <c r="B9" s="13">
        <f>'HC outgas budget'!AA44</f>
        <v>0</v>
      </c>
      <c r="C9" s="13">
        <f>'HC outgas budget'!AA45</f>
        <v>1.1438612778090916E-14</v>
      </c>
      <c r="D9" s="31">
        <f>'HC outgas budget'!AA46</f>
        <v>1.212781664147362E-14</v>
      </c>
      <c r="E9" s="28" t="s">
        <v>249</v>
      </c>
    </row>
    <row r="10" spans="1:5" ht="12.75">
      <c r="A10" s="28" t="s">
        <v>246</v>
      </c>
      <c r="B10" s="13">
        <f>'HC outgas budget'!AB44</f>
        <v>5.792987646423862E-14</v>
      </c>
      <c r="C10" s="13">
        <f>'HC outgas budget'!AB45</f>
        <v>8.178608136335004E-14</v>
      </c>
      <c r="D10" s="31">
        <f>'HC outgas budget'!AB46</f>
        <v>8.064998066579957E-14</v>
      </c>
      <c r="E10" s="28"/>
    </row>
    <row r="11" spans="1:5" ht="12.75">
      <c r="A11" s="28" t="s">
        <v>247</v>
      </c>
      <c r="B11" s="13">
        <f>'HC outgas budget'!AC44</f>
        <v>2.7585655459161244E-14</v>
      </c>
      <c r="C11" s="13">
        <f>'HC outgas budget'!AC45</f>
        <v>4.0035144723318204E-14</v>
      </c>
      <c r="D11" s="31">
        <f>'HC outgas budget'!AC46</f>
        <v>4.244735824515767E-14</v>
      </c>
      <c r="E11" s="28"/>
    </row>
    <row r="12" spans="1:5" ht="12.75">
      <c r="A12" s="28" t="s">
        <v>248</v>
      </c>
      <c r="B12" s="13">
        <f>'HC outgas budget'!AD44</f>
        <v>5.517131091832249E-14</v>
      </c>
      <c r="C12" s="13">
        <f>'HC outgas budget'!AD45</f>
        <v>1.1438612778090916E-14</v>
      </c>
      <c r="D12" s="31">
        <f>'HC outgas budget'!AD46</f>
        <v>1.212781664147362E-14</v>
      </c>
      <c r="E12" s="28"/>
    </row>
    <row r="13" spans="1:5" ht="12.75">
      <c r="A13" s="12" t="s">
        <v>241</v>
      </c>
      <c r="B13" s="13">
        <f>SUM(B6:B12)</f>
        <v>2.3000000000000007E-12</v>
      </c>
      <c r="C13" s="13">
        <f>SUM(C6:C12)</f>
        <v>2.311438612778091E-12</v>
      </c>
      <c r="D13" s="31">
        <f>SUM(D6:D12)</f>
        <v>2.3121278166414733E-12</v>
      </c>
      <c r="E13" s="28"/>
    </row>
  </sheetData>
  <sheetProtection/>
  <mergeCells count="1">
    <mergeCell ref="B3:D3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zoomScale="85" zoomScaleNormal="85" zoomScalePageLayoutView="0" workbookViewId="0" topLeftCell="A1">
      <selection activeCell="L52" sqref="L52"/>
    </sheetView>
  </sheetViews>
  <sheetFormatPr defaultColWidth="9.140625" defaultRowHeight="12.75"/>
  <cols>
    <col min="1" max="1" width="8.00390625" style="0" customWidth="1"/>
    <col min="2" max="2" width="25.28125" style="0" customWidth="1"/>
    <col min="3" max="3" width="41.140625" style="0" customWidth="1"/>
    <col min="4" max="4" width="11.140625" style="0" customWidth="1"/>
    <col min="5" max="5" width="6.00390625" style="0" customWidth="1"/>
    <col min="6" max="6" width="7.00390625" style="0" customWidth="1"/>
    <col min="7" max="7" width="6.28125" style="0" customWidth="1"/>
    <col min="9" max="9" width="10.7109375" style="0" customWidth="1"/>
    <col min="10" max="10" width="11.00390625" style="5" customWidth="1"/>
    <col min="11" max="11" width="9.57421875" style="5" customWidth="1"/>
    <col min="12" max="12" width="10.00390625" style="5" customWidth="1"/>
    <col min="13" max="13" width="13.57421875" style="5" customWidth="1"/>
    <col min="14" max="14" width="15.8515625" style="0" hidden="1" customWidth="1"/>
    <col min="15" max="15" width="7.8515625" style="0" customWidth="1"/>
    <col min="16" max="16" width="7.7109375" style="0" customWidth="1"/>
    <col min="17" max="18" width="11.28125" style="5" customWidth="1"/>
    <col min="19" max="19" width="6.28125" style="0" customWidth="1"/>
    <col min="24" max="24" width="12.421875" style="0" bestFit="1" customWidth="1"/>
  </cols>
  <sheetData>
    <row r="1" ht="18">
      <c r="B1" s="1" t="s">
        <v>238</v>
      </c>
    </row>
    <row r="2" ht="12.75"/>
    <row r="3" spans="4:16" ht="12.75">
      <c r="D3" s="36" t="s">
        <v>131</v>
      </c>
      <c r="E3" s="39" t="s">
        <v>1</v>
      </c>
      <c r="F3" s="39"/>
      <c r="G3" s="39"/>
      <c r="H3" s="39"/>
      <c r="I3" s="36" t="s">
        <v>23</v>
      </c>
      <c r="J3" s="40" t="s">
        <v>6</v>
      </c>
      <c r="K3" s="40"/>
      <c r="L3" s="40"/>
      <c r="O3" s="7"/>
      <c r="P3" s="7"/>
    </row>
    <row r="4" spans="4:18" ht="24.75" customHeight="1">
      <c r="D4" s="36"/>
      <c r="E4" s="7" t="s">
        <v>45</v>
      </c>
      <c r="F4" s="7" t="s">
        <v>4</v>
      </c>
      <c r="G4" s="7" t="s">
        <v>2</v>
      </c>
      <c r="H4" s="2" t="s">
        <v>46</v>
      </c>
      <c r="I4" s="36"/>
      <c r="J4" s="5" t="s">
        <v>3</v>
      </c>
      <c r="K4" s="5" t="s">
        <v>4</v>
      </c>
      <c r="L4" s="5" t="s">
        <v>2</v>
      </c>
      <c r="M4" s="36" t="s">
        <v>8</v>
      </c>
      <c r="N4" s="36"/>
      <c r="O4" s="36" t="s">
        <v>138</v>
      </c>
      <c r="P4" s="36"/>
      <c r="Q4" s="45" t="s">
        <v>137</v>
      </c>
      <c r="R4" s="45"/>
    </row>
    <row r="5" spans="1:30" ht="12.75">
      <c r="A5" t="s">
        <v>9</v>
      </c>
      <c r="B5" t="s">
        <v>236</v>
      </c>
      <c r="C5" t="s">
        <v>0</v>
      </c>
      <c r="D5" s="36"/>
      <c r="E5" s="2" t="s">
        <v>39</v>
      </c>
      <c r="F5" s="2" t="s">
        <v>39</v>
      </c>
      <c r="G5" s="2" t="s">
        <v>39</v>
      </c>
      <c r="H5" s="2" t="s">
        <v>47</v>
      </c>
      <c r="I5" s="36"/>
      <c r="J5" s="5" t="s">
        <v>5</v>
      </c>
      <c r="K5" s="5" t="s">
        <v>5</v>
      </c>
      <c r="L5" s="5" t="s">
        <v>5</v>
      </c>
      <c r="M5" s="9" t="s">
        <v>135</v>
      </c>
      <c r="N5" s="2" t="s">
        <v>7</v>
      </c>
      <c r="O5" s="7" t="s">
        <v>133</v>
      </c>
      <c r="P5" s="7" t="s">
        <v>134</v>
      </c>
      <c r="Q5" s="5" t="s">
        <v>135</v>
      </c>
      <c r="R5" s="5" t="s">
        <v>136</v>
      </c>
      <c r="S5" t="s">
        <v>70</v>
      </c>
      <c r="U5" t="s">
        <v>132</v>
      </c>
      <c r="V5" t="s">
        <v>24</v>
      </c>
      <c r="W5" t="s">
        <v>25</v>
      </c>
      <c r="X5" t="s">
        <v>10</v>
      </c>
      <c r="Y5" t="s">
        <v>26</v>
      </c>
      <c r="Z5" t="s">
        <v>21</v>
      </c>
      <c r="AA5" t="s">
        <v>54</v>
      </c>
      <c r="AB5" t="s">
        <v>60</v>
      </c>
      <c r="AC5" t="s">
        <v>67</v>
      </c>
      <c r="AD5" t="s">
        <v>204</v>
      </c>
    </row>
    <row r="6" spans="1:30" ht="12.75">
      <c r="A6" t="s">
        <v>10</v>
      </c>
      <c r="B6" t="s">
        <v>11</v>
      </c>
      <c r="C6" t="s">
        <v>12</v>
      </c>
      <c r="D6">
        <v>10</v>
      </c>
      <c r="E6">
        <v>6</v>
      </c>
      <c r="F6">
        <f>8*6</f>
        <v>48</v>
      </c>
      <c r="G6">
        <f>8*6</f>
        <v>48</v>
      </c>
      <c r="I6">
        <v>4</v>
      </c>
      <c r="J6" s="5">
        <f aca="true" t="shared" si="0" ref="J6:J43">$J$45*U6*I6/E$44</f>
        <v>3.3102786550993495E-14</v>
      </c>
      <c r="K6" s="5">
        <f aca="true" t="shared" si="1" ref="K6:K43">$J$45*V6*I6/F$44</f>
        <v>5.4905341334836393E-14</v>
      </c>
      <c r="L6" s="5">
        <f aca="true" t="shared" si="2" ref="L6:L43">$J$45*W6*I6/G$44</f>
        <v>5.821351987907337E-14</v>
      </c>
      <c r="M6" s="5">
        <f>MIN(IF(E6&gt;0,1700*J6/E6,1000000),IF(F6&gt;0,(8500/2)*K6/F6,1000000),IF(G6&gt;0,(8500/2)*L6/G6,1000000))</f>
        <v>4.861410430688639E-12</v>
      </c>
      <c r="O6" s="4">
        <f aca="true" t="shared" si="3" ref="O6:O16">IF(M6&gt;0,CEILING(P$49/M6,1),0)</f>
        <v>4</v>
      </c>
      <c r="P6" s="8">
        <f>O6/D6</f>
        <v>0.4</v>
      </c>
      <c r="U6">
        <f>E6/$D6</f>
        <v>0.6</v>
      </c>
      <c r="V6">
        <f aca="true" t="shared" si="4" ref="V6:V43">F6/$D6</f>
        <v>4.8</v>
      </c>
      <c r="W6">
        <f aca="true" t="shared" si="5" ref="W6:W43">G6/$D6</f>
        <v>4.8</v>
      </c>
      <c r="X6">
        <f aca="true" t="shared" si="6" ref="X6:X22">IF($A6=X$5,1,0)</f>
        <v>1</v>
      </c>
      <c r="Y6">
        <f aca="true" t="shared" si="7" ref="Y6:AD21">IF($A6=Y$5,1,0)</f>
        <v>0</v>
      </c>
      <c r="Z6">
        <f t="shared" si="7"/>
        <v>0</v>
      </c>
      <c r="AA6">
        <f t="shared" si="7"/>
        <v>0</v>
      </c>
      <c r="AB6">
        <f t="shared" si="7"/>
        <v>0</v>
      </c>
      <c r="AC6">
        <f t="shared" si="7"/>
        <v>0</v>
      </c>
      <c r="AD6">
        <f t="shared" si="7"/>
        <v>0</v>
      </c>
    </row>
    <row r="7" spans="1:30" ht="12.75">
      <c r="A7" t="s">
        <v>10</v>
      </c>
      <c r="B7" t="s">
        <v>11</v>
      </c>
      <c r="C7" t="s">
        <v>13</v>
      </c>
      <c r="D7">
        <v>10</v>
      </c>
      <c r="E7">
        <v>6</v>
      </c>
      <c r="F7">
        <f aca="true" t="shared" si="8" ref="F7:G13">8*6</f>
        <v>48</v>
      </c>
      <c r="G7">
        <f t="shared" si="8"/>
        <v>48</v>
      </c>
      <c r="I7">
        <v>3</v>
      </c>
      <c r="J7" s="5">
        <f t="shared" si="0"/>
        <v>2.482708991324512E-14</v>
      </c>
      <c r="K7" s="5">
        <f t="shared" si="1"/>
        <v>4.117900600112729E-14</v>
      </c>
      <c r="L7" s="5">
        <f t="shared" si="2"/>
        <v>4.3660139909305034E-14</v>
      </c>
      <c r="M7" s="5">
        <f aca="true" t="shared" si="9" ref="M7:M43">MIN(IF(E7&gt;0,1700*J7/E7,1000000),IF(F7&gt;0,(8500/2)*K7/F7,1000000),IF(G7&gt;0,(8500/2)*L7/G7,1000000))</f>
        <v>3.646057823016479E-12</v>
      </c>
      <c r="O7" s="4">
        <f t="shared" si="3"/>
        <v>6</v>
      </c>
      <c r="P7" s="8">
        <f aca="true" t="shared" si="10" ref="P7:P43">O7/D7</f>
        <v>0.6</v>
      </c>
      <c r="U7">
        <f aca="true" t="shared" si="11" ref="U7:U43">E7/$D7</f>
        <v>0.6</v>
      </c>
      <c r="V7">
        <f t="shared" si="4"/>
        <v>4.8</v>
      </c>
      <c r="W7">
        <f t="shared" si="5"/>
        <v>4.8</v>
      </c>
      <c r="X7">
        <f t="shared" si="6"/>
        <v>1</v>
      </c>
      <c r="Y7">
        <f t="shared" si="7"/>
        <v>0</v>
      </c>
      <c r="Z7">
        <f t="shared" si="7"/>
        <v>0</v>
      </c>
      <c r="AA7">
        <f t="shared" si="7"/>
        <v>0</v>
      </c>
      <c r="AB7">
        <f t="shared" si="7"/>
        <v>0</v>
      </c>
      <c r="AC7">
        <f t="shared" si="7"/>
        <v>0</v>
      </c>
      <c r="AD7">
        <f t="shared" si="7"/>
        <v>0</v>
      </c>
    </row>
    <row r="8" spans="1:30" ht="12.75">
      <c r="A8" t="s">
        <v>10</v>
      </c>
      <c r="B8" t="s">
        <v>11</v>
      </c>
      <c r="C8" t="s">
        <v>14</v>
      </c>
      <c r="D8">
        <v>10</v>
      </c>
      <c r="E8">
        <v>6</v>
      </c>
      <c r="F8">
        <f t="shared" si="8"/>
        <v>48</v>
      </c>
      <c r="G8">
        <f t="shared" si="8"/>
        <v>48</v>
      </c>
      <c r="I8">
        <v>2</v>
      </c>
      <c r="J8" s="5">
        <f t="shared" si="0"/>
        <v>1.6551393275496748E-14</v>
      </c>
      <c r="K8" s="5">
        <f t="shared" si="1"/>
        <v>2.7452670667418197E-14</v>
      </c>
      <c r="L8" s="5">
        <f t="shared" si="2"/>
        <v>2.910675993953669E-14</v>
      </c>
      <c r="M8" s="5">
        <f t="shared" si="9"/>
        <v>2.4307052153443194E-12</v>
      </c>
      <c r="O8" s="4">
        <f t="shared" si="3"/>
        <v>8</v>
      </c>
      <c r="P8" s="8">
        <f t="shared" si="10"/>
        <v>0.8</v>
      </c>
      <c r="U8">
        <f t="shared" si="11"/>
        <v>0.6</v>
      </c>
      <c r="V8">
        <f t="shared" si="4"/>
        <v>4.8</v>
      </c>
      <c r="W8">
        <f t="shared" si="5"/>
        <v>4.8</v>
      </c>
      <c r="X8">
        <f t="shared" si="6"/>
        <v>1</v>
      </c>
      <c r="Y8">
        <f t="shared" si="7"/>
        <v>0</v>
      </c>
      <c r="Z8">
        <f t="shared" si="7"/>
        <v>0</v>
      </c>
      <c r="AA8">
        <f t="shared" si="7"/>
        <v>0</v>
      </c>
      <c r="AB8">
        <f t="shared" si="7"/>
        <v>0</v>
      </c>
      <c r="AC8">
        <f t="shared" si="7"/>
        <v>0</v>
      </c>
      <c r="AD8">
        <f t="shared" si="7"/>
        <v>0</v>
      </c>
    </row>
    <row r="9" spans="1:30" ht="12.75">
      <c r="A9" t="s">
        <v>10</v>
      </c>
      <c r="B9" t="s">
        <v>15</v>
      </c>
      <c r="C9" t="s">
        <v>12</v>
      </c>
      <c r="D9">
        <v>20</v>
      </c>
      <c r="E9">
        <v>6</v>
      </c>
      <c r="F9">
        <f t="shared" si="8"/>
        <v>48</v>
      </c>
      <c r="G9">
        <f t="shared" si="8"/>
        <v>48</v>
      </c>
      <c r="I9">
        <v>4</v>
      </c>
      <c r="J9" s="5">
        <f t="shared" si="0"/>
        <v>1.6551393275496748E-14</v>
      </c>
      <c r="K9" s="5">
        <f t="shared" si="1"/>
        <v>2.7452670667418197E-14</v>
      </c>
      <c r="L9" s="5">
        <f t="shared" si="2"/>
        <v>2.910675993953669E-14</v>
      </c>
      <c r="M9" s="5">
        <f t="shared" si="9"/>
        <v>2.4307052153443194E-12</v>
      </c>
      <c r="O9" s="4">
        <f t="shared" si="3"/>
        <v>8</v>
      </c>
      <c r="P9" s="8">
        <f t="shared" si="10"/>
        <v>0.4</v>
      </c>
      <c r="U9">
        <f t="shared" si="11"/>
        <v>0.3</v>
      </c>
      <c r="V9">
        <f t="shared" si="4"/>
        <v>2.4</v>
      </c>
      <c r="W9">
        <f t="shared" si="5"/>
        <v>2.4</v>
      </c>
      <c r="X9">
        <f t="shared" si="6"/>
        <v>1</v>
      </c>
      <c r="Y9">
        <f t="shared" si="7"/>
        <v>0</v>
      </c>
      <c r="Z9">
        <f t="shared" si="7"/>
        <v>0</v>
      </c>
      <c r="AA9">
        <f t="shared" si="7"/>
        <v>0</v>
      </c>
      <c r="AB9">
        <f t="shared" si="7"/>
        <v>0</v>
      </c>
      <c r="AC9">
        <f t="shared" si="7"/>
        <v>0</v>
      </c>
      <c r="AD9">
        <f t="shared" si="7"/>
        <v>0</v>
      </c>
    </row>
    <row r="10" spans="1:30" ht="12.75">
      <c r="A10" t="s">
        <v>10</v>
      </c>
      <c r="B10" t="s">
        <v>15</v>
      </c>
      <c r="C10" t="s">
        <v>13</v>
      </c>
      <c r="D10">
        <v>20</v>
      </c>
      <c r="E10">
        <v>6</v>
      </c>
      <c r="F10">
        <f t="shared" si="8"/>
        <v>48</v>
      </c>
      <c r="G10">
        <f t="shared" si="8"/>
        <v>48</v>
      </c>
      <c r="I10">
        <v>3</v>
      </c>
      <c r="J10" s="5">
        <f t="shared" si="0"/>
        <v>1.241354495662256E-14</v>
      </c>
      <c r="K10" s="5">
        <f t="shared" si="1"/>
        <v>2.0589503000563646E-14</v>
      </c>
      <c r="L10" s="5">
        <f t="shared" si="2"/>
        <v>2.1830069954652517E-14</v>
      </c>
      <c r="M10" s="5">
        <f t="shared" si="9"/>
        <v>1.8230289115082395E-12</v>
      </c>
      <c r="O10" s="4">
        <f t="shared" si="3"/>
        <v>11</v>
      </c>
      <c r="P10" s="8">
        <f t="shared" si="10"/>
        <v>0.55</v>
      </c>
      <c r="U10">
        <f t="shared" si="11"/>
        <v>0.3</v>
      </c>
      <c r="V10">
        <f t="shared" si="4"/>
        <v>2.4</v>
      </c>
      <c r="W10">
        <f t="shared" si="5"/>
        <v>2.4</v>
      </c>
      <c r="X10">
        <f t="shared" si="6"/>
        <v>1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</row>
    <row r="11" spans="1:30" ht="12.75">
      <c r="A11" t="s">
        <v>10</v>
      </c>
      <c r="B11" t="s">
        <v>15</v>
      </c>
      <c r="C11" t="s">
        <v>14</v>
      </c>
      <c r="D11">
        <v>20</v>
      </c>
      <c r="E11">
        <v>6</v>
      </c>
      <c r="F11">
        <f t="shared" si="8"/>
        <v>48</v>
      </c>
      <c r="G11">
        <f t="shared" si="8"/>
        <v>48</v>
      </c>
      <c r="I11">
        <v>2</v>
      </c>
      <c r="J11" s="5">
        <f t="shared" si="0"/>
        <v>8.275696637748374E-15</v>
      </c>
      <c r="K11" s="5">
        <f t="shared" si="1"/>
        <v>1.3726335333709098E-14</v>
      </c>
      <c r="L11" s="5">
        <f t="shared" si="2"/>
        <v>1.4553379969768344E-14</v>
      </c>
      <c r="M11" s="5">
        <f t="shared" si="9"/>
        <v>1.2153526076721597E-12</v>
      </c>
      <c r="O11" s="4">
        <f t="shared" si="3"/>
        <v>16</v>
      </c>
      <c r="P11" s="8">
        <f t="shared" si="10"/>
        <v>0.8</v>
      </c>
      <c r="U11">
        <f t="shared" si="11"/>
        <v>0.3</v>
      </c>
      <c r="V11">
        <f t="shared" si="4"/>
        <v>2.4</v>
      </c>
      <c r="W11">
        <f t="shared" si="5"/>
        <v>2.4</v>
      </c>
      <c r="X11">
        <f t="shared" si="6"/>
        <v>1</v>
      </c>
      <c r="Y11">
        <f t="shared" si="7"/>
        <v>0</v>
      </c>
      <c r="Z11">
        <f t="shared" si="7"/>
        <v>0</v>
      </c>
      <c r="AA11">
        <f t="shared" si="7"/>
        <v>0</v>
      </c>
      <c r="AB11">
        <f t="shared" si="7"/>
        <v>0</v>
      </c>
      <c r="AC11">
        <f t="shared" si="7"/>
        <v>0</v>
      </c>
      <c r="AD11">
        <f t="shared" si="7"/>
        <v>0</v>
      </c>
    </row>
    <row r="12" spans="1:30" ht="12.75">
      <c r="A12" t="s">
        <v>10</v>
      </c>
      <c r="B12" t="s">
        <v>16</v>
      </c>
      <c r="C12" t="s">
        <v>17</v>
      </c>
      <c r="D12">
        <v>50</v>
      </c>
      <c r="E12">
        <v>6</v>
      </c>
      <c r="F12">
        <f t="shared" si="8"/>
        <v>48</v>
      </c>
      <c r="G12">
        <v>48</v>
      </c>
      <c r="I12">
        <v>3</v>
      </c>
      <c r="J12" s="5">
        <f t="shared" si="0"/>
        <v>4.965417982649024E-15</v>
      </c>
      <c r="K12" s="5">
        <f t="shared" si="1"/>
        <v>8.235801200225458E-15</v>
      </c>
      <c r="L12" s="5">
        <f t="shared" si="2"/>
        <v>8.732027981861005E-15</v>
      </c>
      <c r="M12" s="5">
        <f t="shared" si="9"/>
        <v>7.292115646032957E-13</v>
      </c>
      <c r="O12" s="4">
        <f t="shared" si="3"/>
        <v>27</v>
      </c>
      <c r="P12" s="8">
        <f t="shared" si="10"/>
        <v>0.54</v>
      </c>
      <c r="U12">
        <f t="shared" si="11"/>
        <v>0.12</v>
      </c>
      <c r="V12">
        <f t="shared" si="4"/>
        <v>0.96</v>
      </c>
      <c r="W12">
        <f t="shared" si="5"/>
        <v>0.96</v>
      </c>
      <c r="X12">
        <f t="shared" si="6"/>
        <v>1</v>
      </c>
      <c r="Y12">
        <f t="shared" si="7"/>
        <v>0</v>
      </c>
      <c r="Z12">
        <f t="shared" si="7"/>
        <v>0</v>
      </c>
      <c r="AA12">
        <f t="shared" si="7"/>
        <v>0</v>
      </c>
      <c r="AB12">
        <f t="shared" si="7"/>
        <v>0</v>
      </c>
      <c r="AC12">
        <f t="shared" si="7"/>
        <v>0</v>
      </c>
      <c r="AD12">
        <f t="shared" si="7"/>
        <v>0</v>
      </c>
    </row>
    <row r="13" spans="1:30" ht="12.75">
      <c r="A13" t="s">
        <v>10</v>
      </c>
      <c r="B13" t="s">
        <v>16</v>
      </c>
      <c r="C13" t="s">
        <v>18</v>
      </c>
      <c r="D13">
        <v>50</v>
      </c>
      <c r="E13">
        <v>6</v>
      </c>
      <c r="F13">
        <f t="shared" si="8"/>
        <v>48</v>
      </c>
      <c r="G13">
        <v>48</v>
      </c>
      <c r="I13">
        <v>4</v>
      </c>
      <c r="J13" s="5">
        <f t="shared" si="0"/>
        <v>6.6205573101986984E-15</v>
      </c>
      <c r="K13" s="5">
        <f t="shared" si="1"/>
        <v>1.0981068266967279E-14</v>
      </c>
      <c r="L13" s="5">
        <f t="shared" si="2"/>
        <v>1.1642703975814675E-14</v>
      </c>
      <c r="M13" s="5">
        <f t="shared" si="9"/>
        <v>9.722820861377278E-13</v>
      </c>
      <c r="O13" s="4">
        <f t="shared" si="3"/>
        <v>20</v>
      </c>
      <c r="P13" s="8">
        <f t="shared" si="10"/>
        <v>0.4</v>
      </c>
      <c r="U13">
        <f t="shared" si="11"/>
        <v>0.12</v>
      </c>
      <c r="V13">
        <f t="shared" si="4"/>
        <v>0.96</v>
      </c>
      <c r="W13">
        <f t="shared" si="5"/>
        <v>0.96</v>
      </c>
      <c r="X13">
        <f t="shared" si="6"/>
        <v>1</v>
      </c>
      <c r="Y13">
        <f t="shared" si="7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</row>
    <row r="14" spans="1:30" ht="12.75">
      <c r="A14" t="s">
        <v>10</v>
      </c>
      <c r="B14" t="s">
        <v>19</v>
      </c>
      <c r="C14" t="s">
        <v>20</v>
      </c>
      <c r="D14">
        <v>3</v>
      </c>
      <c r="E14" s="33">
        <v>96</v>
      </c>
      <c r="F14" s="33">
        <v>392</v>
      </c>
      <c r="G14" s="33">
        <v>384</v>
      </c>
      <c r="I14">
        <v>4</v>
      </c>
      <c r="J14" s="5">
        <f t="shared" si="0"/>
        <v>1.7654819493863196E-12</v>
      </c>
      <c r="K14" s="5">
        <f t="shared" si="1"/>
        <v>1.4946454030038794E-12</v>
      </c>
      <c r="L14" s="5">
        <f>$J$45*W14*I14/G$44</f>
        <v>1.5523605301086234E-12</v>
      </c>
      <c r="M14" s="5">
        <f t="shared" si="9"/>
        <v>1.6204701435628794E-11</v>
      </c>
      <c r="O14" s="4">
        <f t="shared" si="3"/>
        <v>2</v>
      </c>
      <c r="P14" s="8">
        <f t="shared" si="10"/>
        <v>0.6666666666666666</v>
      </c>
      <c r="Q14" s="5">
        <v>1.7E-11</v>
      </c>
      <c r="S14">
        <v>1</v>
      </c>
      <c r="U14">
        <f t="shared" si="11"/>
        <v>32</v>
      </c>
      <c r="V14">
        <f t="shared" si="4"/>
        <v>130.66666666666666</v>
      </c>
      <c r="W14">
        <f t="shared" si="5"/>
        <v>128</v>
      </c>
      <c r="X14">
        <f t="shared" si="6"/>
        <v>1</v>
      </c>
      <c r="Y14">
        <f t="shared" si="7"/>
        <v>0</v>
      </c>
      <c r="Z14">
        <f t="shared" si="7"/>
        <v>0</v>
      </c>
      <c r="AA14">
        <f t="shared" si="7"/>
        <v>0</v>
      </c>
      <c r="AB14">
        <f t="shared" si="7"/>
        <v>0</v>
      </c>
      <c r="AC14">
        <f t="shared" si="7"/>
        <v>0</v>
      </c>
      <c r="AD14">
        <f t="shared" si="7"/>
        <v>0</v>
      </c>
    </row>
    <row r="15" spans="1:30" ht="12.75">
      <c r="A15" t="s">
        <v>10</v>
      </c>
      <c r="B15" t="s">
        <v>128</v>
      </c>
      <c r="C15" t="s">
        <v>129</v>
      </c>
      <c r="D15">
        <v>3</v>
      </c>
      <c r="E15">
        <v>1</v>
      </c>
      <c r="F15">
        <v>8</v>
      </c>
      <c r="G15">
        <v>8</v>
      </c>
      <c r="I15">
        <v>1</v>
      </c>
      <c r="J15" s="5">
        <f t="shared" si="0"/>
        <v>4.59760924319354E-15</v>
      </c>
      <c r="K15" s="5">
        <f t="shared" si="1"/>
        <v>7.62574185206061E-15</v>
      </c>
      <c r="L15" s="5">
        <f t="shared" si="2"/>
        <v>8.085211094315745E-15</v>
      </c>
      <c r="M15" s="5">
        <f t="shared" si="9"/>
        <v>4.0511753589071994E-12</v>
      </c>
      <c r="O15" s="4">
        <f t="shared" si="3"/>
        <v>5</v>
      </c>
      <c r="P15" s="8">
        <f t="shared" si="10"/>
        <v>1.6666666666666667</v>
      </c>
      <c r="U15">
        <f t="shared" si="11"/>
        <v>0.3333333333333333</v>
      </c>
      <c r="V15">
        <f t="shared" si="4"/>
        <v>2.6666666666666665</v>
      </c>
      <c r="W15">
        <f t="shared" si="5"/>
        <v>2.6666666666666665</v>
      </c>
      <c r="X15">
        <f t="shared" si="6"/>
        <v>1</v>
      </c>
      <c r="Y15">
        <f t="shared" si="7"/>
        <v>0</v>
      </c>
      <c r="Z15">
        <f t="shared" si="7"/>
        <v>0</v>
      </c>
      <c r="AA15">
        <f t="shared" si="7"/>
        <v>0</v>
      </c>
      <c r="AB15">
        <f t="shared" si="7"/>
        <v>0</v>
      </c>
      <c r="AC15">
        <f t="shared" si="7"/>
        <v>0</v>
      </c>
      <c r="AD15">
        <f t="shared" si="7"/>
        <v>0</v>
      </c>
    </row>
    <row r="16" spans="1:30" ht="12.75">
      <c r="A16" t="s">
        <v>10</v>
      </c>
      <c r="B16" t="s">
        <v>130</v>
      </c>
      <c r="C16" t="s">
        <v>22</v>
      </c>
      <c r="D16">
        <v>1</v>
      </c>
      <c r="E16">
        <v>1</v>
      </c>
      <c r="F16">
        <v>8</v>
      </c>
      <c r="G16">
        <v>8</v>
      </c>
      <c r="I16">
        <v>1</v>
      </c>
      <c r="J16" s="5">
        <f t="shared" si="0"/>
        <v>1.3792827729580622E-14</v>
      </c>
      <c r="K16" s="5">
        <f t="shared" si="1"/>
        <v>2.287722555618183E-14</v>
      </c>
      <c r="L16" s="5">
        <f t="shared" si="2"/>
        <v>2.425563328294724E-14</v>
      </c>
      <c r="M16" s="5">
        <f t="shared" si="9"/>
        <v>1.2153526076721597E-11</v>
      </c>
      <c r="O16" s="4">
        <f t="shared" si="3"/>
        <v>2</v>
      </c>
      <c r="P16" s="8">
        <f t="shared" si="10"/>
        <v>2</v>
      </c>
      <c r="U16">
        <f t="shared" si="11"/>
        <v>1</v>
      </c>
      <c r="V16">
        <f t="shared" si="4"/>
        <v>8</v>
      </c>
      <c r="W16">
        <f t="shared" si="5"/>
        <v>8</v>
      </c>
      <c r="X16">
        <f t="shared" si="6"/>
        <v>1</v>
      </c>
      <c r="Y16">
        <f t="shared" si="7"/>
        <v>0</v>
      </c>
      <c r="Z16">
        <f t="shared" si="7"/>
        <v>0</v>
      </c>
      <c r="AA16">
        <f t="shared" si="7"/>
        <v>0</v>
      </c>
      <c r="AB16">
        <f t="shared" si="7"/>
        <v>0</v>
      </c>
      <c r="AC16">
        <f t="shared" si="7"/>
        <v>0</v>
      </c>
      <c r="AD16">
        <f t="shared" si="7"/>
        <v>0</v>
      </c>
    </row>
    <row r="17" spans="1:30" ht="12.75">
      <c r="A17" t="s">
        <v>26</v>
      </c>
      <c r="B17" t="s">
        <v>44</v>
      </c>
      <c r="C17" t="s">
        <v>27</v>
      </c>
      <c r="D17">
        <v>10</v>
      </c>
      <c r="E17">
        <v>9</v>
      </c>
      <c r="F17">
        <f>9*5+5*2</f>
        <v>55</v>
      </c>
      <c r="G17">
        <f>9*5+2</f>
        <v>47</v>
      </c>
      <c r="I17">
        <v>0</v>
      </c>
      <c r="J17" s="5">
        <f t="shared" si="0"/>
        <v>0</v>
      </c>
      <c r="K17" s="5">
        <f t="shared" si="1"/>
        <v>0</v>
      </c>
      <c r="L17" s="5">
        <f t="shared" si="2"/>
        <v>0</v>
      </c>
      <c r="O17" s="4"/>
      <c r="P17" s="8"/>
      <c r="U17">
        <f t="shared" si="11"/>
        <v>0.9</v>
      </c>
      <c r="V17">
        <f t="shared" si="4"/>
        <v>5.5</v>
      </c>
      <c r="W17">
        <f t="shared" si="5"/>
        <v>4.7</v>
      </c>
      <c r="X17">
        <f t="shared" si="6"/>
        <v>0</v>
      </c>
      <c r="Y17">
        <f t="shared" si="7"/>
        <v>1</v>
      </c>
      <c r="Z17">
        <f t="shared" si="7"/>
        <v>0</v>
      </c>
      <c r="AA17">
        <f t="shared" si="7"/>
        <v>0</v>
      </c>
      <c r="AB17">
        <f t="shared" si="7"/>
        <v>0</v>
      </c>
      <c r="AC17">
        <f t="shared" si="7"/>
        <v>0</v>
      </c>
      <c r="AD17">
        <f t="shared" si="7"/>
        <v>0</v>
      </c>
    </row>
    <row r="18" spans="1:30" ht="12.75">
      <c r="A18" t="s">
        <v>26</v>
      </c>
      <c r="B18" t="s">
        <v>48</v>
      </c>
      <c r="C18" t="s">
        <v>49</v>
      </c>
      <c r="D18">
        <v>1</v>
      </c>
      <c r="E18">
        <v>1</v>
      </c>
      <c r="F18">
        <v>1</v>
      </c>
      <c r="G18">
        <v>1</v>
      </c>
      <c r="I18">
        <v>0</v>
      </c>
      <c r="J18" s="5">
        <f t="shared" si="0"/>
        <v>0</v>
      </c>
      <c r="K18" s="5">
        <f t="shared" si="1"/>
        <v>0</v>
      </c>
      <c r="L18" s="5">
        <f t="shared" si="2"/>
        <v>0</v>
      </c>
      <c r="O18" s="4"/>
      <c r="P18" s="8"/>
      <c r="U18">
        <f t="shared" si="11"/>
        <v>1</v>
      </c>
      <c r="V18">
        <f t="shared" si="4"/>
        <v>1</v>
      </c>
      <c r="W18">
        <f t="shared" si="5"/>
        <v>1</v>
      </c>
      <c r="X18">
        <f t="shared" si="6"/>
        <v>0</v>
      </c>
      <c r="Y18">
        <f t="shared" si="7"/>
        <v>1</v>
      </c>
      <c r="Z18">
        <f t="shared" si="7"/>
        <v>0</v>
      </c>
      <c r="AA18">
        <f t="shared" si="7"/>
        <v>0</v>
      </c>
      <c r="AB18">
        <f t="shared" si="7"/>
        <v>0</v>
      </c>
      <c r="AC18">
        <f t="shared" si="7"/>
        <v>0</v>
      </c>
      <c r="AD18">
        <f t="shared" si="7"/>
        <v>0</v>
      </c>
    </row>
    <row r="19" spans="1:30" ht="12.75">
      <c r="A19" t="s">
        <v>26</v>
      </c>
      <c r="B19" t="s">
        <v>58</v>
      </c>
      <c r="C19" t="s">
        <v>59</v>
      </c>
      <c r="D19">
        <v>20</v>
      </c>
      <c r="E19">
        <v>1</v>
      </c>
      <c r="F19">
        <v>1</v>
      </c>
      <c r="G19">
        <v>1</v>
      </c>
      <c r="I19">
        <v>0</v>
      </c>
      <c r="J19" s="5">
        <f t="shared" si="0"/>
        <v>0</v>
      </c>
      <c r="K19" s="5">
        <f t="shared" si="1"/>
        <v>0</v>
      </c>
      <c r="L19" s="5">
        <f t="shared" si="2"/>
        <v>0</v>
      </c>
      <c r="O19" s="4"/>
      <c r="P19" s="8"/>
      <c r="U19">
        <f t="shared" si="11"/>
        <v>0.05</v>
      </c>
      <c r="V19">
        <f t="shared" si="4"/>
        <v>0.05</v>
      </c>
      <c r="W19">
        <f t="shared" si="5"/>
        <v>0.05</v>
      </c>
      <c r="X19">
        <f t="shared" si="6"/>
        <v>0</v>
      </c>
      <c r="Y19">
        <f t="shared" si="7"/>
        <v>1</v>
      </c>
      <c r="Z19">
        <f t="shared" si="7"/>
        <v>0</v>
      </c>
      <c r="AA19">
        <f t="shared" si="7"/>
        <v>0</v>
      </c>
      <c r="AB19">
        <f t="shared" si="7"/>
        <v>0</v>
      </c>
      <c r="AC19">
        <f t="shared" si="7"/>
        <v>0</v>
      </c>
      <c r="AD19">
        <f t="shared" si="7"/>
        <v>0</v>
      </c>
    </row>
    <row r="20" spans="1:30" ht="12.75">
      <c r="A20" t="s">
        <v>21</v>
      </c>
      <c r="B20" t="s">
        <v>29</v>
      </c>
      <c r="C20" t="s">
        <v>38</v>
      </c>
      <c r="D20">
        <v>50</v>
      </c>
      <c r="E20">
        <f>4*E22</f>
        <v>48</v>
      </c>
      <c r="F20">
        <f>4*F22</f>
        <v>384</v>
      </c>
      <c r="G20">
        <f>4*G22</f>
        <v>288</v>
      </c>
      <c r="I20">
        <v>3</v>
      </c>
      <c r="J20" s="5">
        <f t="shared" si="0"/>
        <v>3.972334386119219E-14</v>
      </c>
      <c r="K20" s="5">
        <f t="shared" si="1"/>
        <v>6.588640960180366E-14</v>
      </c>
      <c r="L20" s="5">
        <f t="shared" si="2"/>
        <v>5.239216789116603E-14</v>
      </c>
      <c r="M20" s="5">
        <f t="shared" si="9"/>
        <v>7.292115646032957E-13</v>
      </c>
      <c r="O20" s="4">
        <f aca="true" t="shared" si="12" ref="O20:O43">IF(M20&gt;0,CEILING(P$49/M20,1),0)</f>
        <v>27</v>
      </c>
      <c r="P20" s="8">
        <f t="shared" si="10"/>
        <v>0.54</v>
      </c>
      <c r="U20">
        <f t="shared" si="11"/>
        <v>0.96</v>
      </c>
      <c r="V20">
        <f t="shared" si="4"/>
        <v>7.68</v>
      </c>
      <c r="W20">
        <f t="shared" si="5"/>
        <v>5.76</v>
      </c>
      <c r="X20">
        <f t="shared" si="6"/>
        <v>0</v>
      </c>
      <c r="Y20">
        <f t="shared" si="7"/>
        <v>0</v>
      </c>
      <c r="Z20">
        <f t="shared" si="7"/>
        <v>1</v>
      </c>
      <c r="AA20">
        <f t="shared" si="7"/>
        <v>0</v>
      </c>
      <c r="AB20">
        <f t="shared" si="7"/>
        <v>0</v>
      </c>
      <c r="AC20">
        <f t="shared" si="7"/>
        <v>0</v>
      </c>
      <c r="AD20">
        <f t="shared" si="7"/>
        <v>0</v>
      </c>
    </row>
    <row r="21" spans="1:30" ht="12.75">
      <c r="A21" t="s">
        <v>21</v>
      </c>
      <c r="B21" t="s">
        <v>29</v>
      </c>
      <c r="C21" t="s">
        <v>31</v>
      </c>
      <c r="D21">
        <v>50</v>
      </c>
      <c r="E21">
        <f>E22</f>
        <v>12</v>
      </c>
      <c r="F21">
        <f>F22</f>
        <v>96</v>
      </c>
      <c r="G21">
        <f>G22</f>
        <v>72</v>
      </c>
      <c r="I21">
        <v>2</v>
      </c>
      <c r="J21" s="5">
        <f t="shared" si="0"/>
        <v>6.6205573101986984E-15</v>
      </c>
      <c r="K21" s="5">
        <f t="shared" si="1"/>
        <v>1.0981068266967279E-14</v>
      </c>
      <c r="L21" s="5">
        <f t="shared" si="2"/>
        <v>8.732027981861005E-15</v>
      </c>
      <c r="M21" s="5">
        <f t="shared" si="9"/>
        <v>4.861410430688639E-13</v>
      </c>
      <c r="O21" s="4">
        <f t="shared" si="12"/>
        <v>40</v>
      </c>
      <c r="P21" s="8">
        <f t="shared" si="10"/>
        <v>0.8</v>
      </c>
      <c r="U21">
        <f t="shared" si="11"/>
        <v>0.24</v>
      </c>
      <c r="V21">
        <f t="shared" si="4"/>
        <v>1.92</v>
      </c>
      <c r="W21">
        <f t="shared" si="5"/>
        <v>1.44</v>
      </c>
      <c r="X21">
        <f t="shared" si="6"/>
        <v>0</v>
      </c>
      <c r="Y21">
        <f t="shared" si="7"/>
        <v>0</v>
      </c>
      <c r="Z21">
        <f t="shared" si="7"/>
        <v>1</v>
      </c>
      <c r="AA21">
        <f t="shared" si="7"/>
        <v>0</v>
      </c>
      <c r="AB21">
        <f t="shared" si="7"/>
        <v>0</v>
      </c>
      <c r="AC21">
        <f t="shared" si="7"/>
        <v>0</v>
      </c>
      <c r="AD21">
        <f t="shared" si="7"/>
        <v>0</v>
      </c>
    </row>
    <row r="22" spans="1:30" ht="12.75">
      <c r="A22" t="s">
        <v>21</v>
      </c>
      <c r="B22" t="s">
        <v>29</v>
      </c>
      <c r="C22" t="s">
        <v>33</v>
      </c>
      <c r="D22">
        <v>50</v>
      </c>
      <c r="E22">
        <v>12</v>
      </c>
      <c r="F22">
        <f>5*12+6*6</f>
        <v>96</v>
      </c>
      <c r="G22">
        <f>3*12+6*6</f>
        <v>72</v>
      </c>
      <c r="I22">
        <v>2</v>
      </c>
      <c r="J22" s="5">
        <f t="shared" si="0"/>
        <v>6.6205573101986984E-15</v>
      </c>
      <c r="K22" s="5">
        <f t="shared" si="1"/>
        <v>1.0981068266967279E-14</v>
      </c>
      <c r="L22" s="5">
        <f t="shared" si="2"/>
        <v>8.732027981861005E-15</v>
      </c>
      <c r="M22" s="5">
        <f t="shared" si="9"/>
        <v>4.861410430688639E-13</v>
      </c>
      <c r="O22" s="4">
        <f t="shared" si="12"/>
        <v>40</v>
      </c>
      <c r="P22" s="8">
        <f t="shared" si="10"/>
        <v>0.8</v>
      </c>
      <c r="U22">
        <f t="shared" si="11"/>
        <v>0.24</v>
      </c>
      <c r="V22">
        <f t="shared" si="4"/>
        <v>1.92</v>
      </c>
      <c r="W22">
        <f t="shared" si="5"/>
        <v>1.44</v>
      </c>
      <c r="X22">
        <f t="shared" si="6"/>
        <v>0</v>
      </c>
      <c r="Y22">
        <f aca="true" t="shared" si="13" ref="Y22:AD22">IF($A22=Y$5,1,0)</f>
        <v>0</v>
      </c>
      <c r="Z22">
        <f t="shared" si="13"/>
        <v>1</v>
      </c>
      <c r="AA22">
        <f t="shared" si="13"/>
        <v>0</v>
      </c>
      <c r="AB22">
        <f t="shared" si="13"/>
        <v>0</v>
      </c>
      <c r="AC22">
        <f t="shared" si="13"/>
        <v>0</v>
      </c>
      <c r="AD22">
        <f t="shared" si="13"/>
        <v>0</v>
      </c>
    </row>
    <row r="23" spans="1:30" ht="12.75">
      <c r="A23" t="s">
        <v>21</v>
      </c>
      <c r="B23" t="s">
        <v>34</v>
      </c>
      <c r="C23" t="s">
        <v>30</v>
      </c>
      <c r="D23">
        <v>50</v>
      </c>
      <c r="E23">
        <f>4*E25</f>
        <v>32</v>
      </c>
      <c r="F23">
        <f>4*F25</f>
        <v>352</v>
      </c>
      <c r="G23">
        <f>4*G25</f>
        <v>288</v>
      </c>
      <c r="I23">
        <v>3</v>
      </c>
      <c r="J23" s="5">
        <f t="shared" si="0"/>
        <v>2.6482229240794794E-14</v>
      </c>
      <c r="K23" s="5">
        <f t="shared" si="1"/>
        <v>6.039587546832003E-14</v>
      </c>
      <c r="L23" s="5">
        <f t="shared" si="2"/>
        <v>5.239216789116603E-14</v>
      </c>
      <c r="M23" s="5">
        <f t="shared" si="9"/>
        <v>7.292115646032958E-13</v>
      </c>
      <c r="O23" s="4">
        <f t="shared" si="12"/>
        <v>27</v>
      </c>
      <c r="P23" s="8">
        <f t="shared" si="10"/>
        <v>0.54</v>
      </c>
      <c r="U23">
        <f t="shared" si="11"/>
        <v>0.64</v>
      </c>
      <c r="V23">
        <f t="shared" si="4"/>
        <v>7.04</v>
      </c>
      <c r="W23">
        <f t="shared" si="5"/>
        <v>5.76</v>
      </c>
      <c r="X23">
        <f aca="true" t="shared" si="14" ref="X23:AD38">IF($A23=X$5,1,0)</f>
        <v>0</v>
      </c>
      <c r="Y23">
        <f t="shared" si="14"/>
        <v>0</v>
      </c>
      <c r="Z23">
        <f t="shared" si="14"/>
        <v>1</v>
      </c>
      <c r="AA23">
        <f t="shared" si="14"/>
        <v>0</v>
      </c>
      <c r="AB23">
        <f t="shared" si="14"/>
        <v>0</v>
      </c>
      <c r="AC23">
        <f t="shared" si="14"/>
        <v>0</v>
      </c>
      <c r="AD23">
        <f t="shared" si="14"/>
        <v>0</v>
      </c>
    </row>
    <row r="24" spans="1:30" ht="12.75">
      <c r="A24" t="s">
        <v>21</v>
      </c>
      <c r="B24" t="s">
        <v>34</v>
      </c>
      <c r="C24" t="s">
        <v>31</v>
      </c>
      <c r="D24">
        <v>50</v>
      </c>
      <c r="E24">
        <f>E25</f>
        <v>8</v>
      </c>
      <c r="F24">
        <f>F25</f>
        <v>88</v>
      </c>
      <c r="G24">
        <f>G25</f>
        <v>72</v>
      </c>
      <c r="I24">
        <v>2</v>
      </c>
      <c r="J24" s="5">
        <f t="shared" si="0"/>
        <v>4.4137048734657995E-15</v>
      </c>
      <c r="K24" s="5">
        <f t="shared" si="1"/>
        <v>1.0065979244720005E-14</v>
      </c>
      <c r="L24" s="5">
        <f t="shared" si="2"/>
        <v>8.732027981861005E-15</v>
      </c>
      <c r="M24" s="5">
        <f t="shared" si="9"/>
        <v>4.861410430688639E-13</v>
      </c>
      <c r="O24" s="4">
        <f t="shared" si="12"/>
        <v>40</v>
      </c>
      <c r="P24" s="8">
        <f t="shared" si="10"/>
        <v>0.8</v>
      </c>
      <c r="U24">
        <f t="shared" si="11"/>
        <v>0.16</v>
      </c>
      <c r="V24">
        <f t="shared" si="4"/>
        <v>1.76</v>
      </c>
      <c r="W24">
        <f t="shared" si="5"/>
        <v>1.44</v>
      </c>
      <c r="X24">
        <f t="shared" si="14"/>
        <v>0</v>
      </c>
      <c r="Y24">
        <f t="shared" si="14"/>
        <v>0</v>
      </c>
      <c r="Z24">
        <f t="shared" si="14"/>
        <v>1</v>
      </c>
      <c r="AA24">
        <f t="shared" si="14"/>
        <v>0</v>
      </c>
      <c r="AB24">
        <f t="shared" si="14"/>
        <v>0</v>
      </c>
      <c r="AC24">
        <f t="shared" si="14"/>
        <v>0</v>
      </c>
      <c r="AD24">
        <f t="shared" si="14"/>
        <v>0</v>
      </c>
    </row>
    <row r="25" spans="1:30" ht="12.75">
      <c r="A25" t="s">
        <v>21</v>
      </c>
      <c r="B25" t="s">
        <v>34</v>
      </c>
      <c r="C25" t="s">
        <v>33</v>
      </c>
      <c r="D25">
        <v>50</v>
      </c>
      <c r="E25">
        <v>8</v>
      </c>
      <c r="F25">
        <f>11*8</f>
        <v>88</v>
      </c>
      <c r="G25">
        <f>9*8</f>
        <v>72</v>
      </c>
      <c r="I25">
        <v>2</v>
      </c>
      <c r="J25" s="5">
        <f t="shared" si="0"/>
        <v>4.4137048734657995E-15</v>
      </c>
      <c r="K25" s="5">
        <f t="shared" si="1"/>
        <v>1.0065979244720005E-14</v>
      </c>
      <c r="L25" s="5">
        <f t="shared" si="2"/>
        <v>8.732027981861005E-15</v>
      </c>
      <c r="M25" s="5">
        <f t="shared" si="9"/>
        <v>4.861410430688639E-13</v>
      </c>
      <c r="O25" s="4">
        <f t="shared" si="12"/>
        <v>40</v>
      </c>
      <c r="P25" s="8">
        <f t="shared" si="10"/>
        <v>0.8</v>
      </c>
      <c r="U25">
        <f t="shared" si="11"/>
        <v>0.16</v>
      </c>
      <c r="V25">
        <f t="shared" si="4"/>
        <v>1.76</v>
      </c>
      <c r="W25">
        <f t="shared" si="5"/>
        <v>1.44</v>
      </c>
      <c r="X25">
        <f t="shared" si="14"/>
        <v>0</v>
      </c>
      <c r="Y25">
        <f t="shared" si="14"/>
        <v>0</v>
      </c>
      <c r="Z25">
        <f t="shared" si="14"/>
        <v>1</v>
      </c>
      <c r="AA25">
        <f t="shared" si="14"/>
        <v>0</v>
      </c>
      <c r="AB25">
        <f t="shared" si="14"/>
        <v>0</v>
      </c>
      <c r="AC25">
        <f t="shared" si="14"/>
        <v>0</v>
      </c>
      <c r="AD25">
        <f t="shared" si="14"/>
        <v>0</v>
      </c>
    </row>
    <row r="26" spans="1:30" ht="12.75">
      <c r="A26" t="s">
        <v>21</v>
      </c>
      <c r="B26" t="s">
        <v>35</v>
      </c>
      <c r="C26" t="s">
        <v>27</v>
      </c>
      <c r="D26">
        <v>100</v>
      </c>
      <c r="E26">
        <v>20</v>
      </c>
      <c r="F26">
        <f>11*20</f>
        <v>220</v>
      </c>
      <c r="G26">
        <f>9*20</f>
        <v>180</v>
      </c>
      <c r="H26" s="3">
        <v>0.0001</v>
      </c>
      <c r="I26">
        <v>4</v>
      </c>
      <c r="J26" s="5">
        <f t="shared" si="0"/>
        <v>1.1034262183664498E-14</v>
      </c>
      <c r="K26" s="5">
        <f t="shared" si="1"/>
        <v>2.5164948111800014E-14</v>
      </c>
      <c r="L26" s="5">
        <f t="shared" si="2"/>
        <v>2.1830069954652517E-14</v>
      </c>
      <c r="M26" s="5">
        <f t="shared" si="9"/>
        <v>4.861410430688639E-13</v>
      </c>
      <c r="O26" s="4">
        <f t="shared" si="12"/>
        <v>40</v>
      </c>
      <c r="P26" s="8">
        <f t="shared" si="10"/>
        <v>0.4</v>
      </c>
      <c r="Q26" s="5">
        <f>R26*H26</f>
        <v>2.3000000000000003E-14</v>
      </c>
      <c r="R26" s="5">
        <v>2.3E-10</v>
      </c>
      <c r="U26">
        <f t="shared" si="11"/>
        <v>0.2</v>
      </c>
      <c r="V26">
        <f t="shared" si="4"/>
        <v>2.2</v>
      </c>
      <c r="W26">
        <f t="shared" si="5"/>
        <v>1.8</v>
      </c>
      <c r="X26">
        <f t="shared" si="14"/>
        <v>0</v>
      </c>
      <c r="Y26">
        <f t="shared" si="14"/>
        <v>0</v>
      </c>
      <c r="Z26">
        <f t="shared" si="14"/>
        <v>1</v>
      </c>
      <c r="AA26">
        <f t="shared" si="14"/>
        <v>0</v>
      </c>
      <c r="AB26">
        <f t="shared" si="14"/>
        <v>0</v>
      </c>
      <c r="AC26">
        <f t="shared" si="14"/>
        <v>0</v>
      </c>
      <c r="AD26">
        <f t="shared" si="14"/>
        <v>0</v>
      </c>
    </row>
    <row r="27" spans="1:30" ht="12.75">
      <c r="A27" t="s">
        <v>21</v>
      </c>
      <c r="B27" t="s">
        <v>36</v>
      </c>
      <c r="C27" t="s">
        <v>37</v>
      </c>
      <c r="D27">
        <v>100</v>
      </c>
      <c r="E27">
        <v>4</v>
      </c>
      <c r="F27">
        <v>20</v>
      </c>
      <c r="G27">
        <v>20</v>
      </c>
      <c r="I27">
        <v>4</v>
      </c>
      <c r="J27" s="5">
        <f t="shared" si="0"/>
        <v>2.2068524367328997E-15</v>
      </c>
      <c r="K27" s="5">
        <f t="shared" si="1"/>
        <v>2.287722555618183E-15</v>
      </c>
      <c r="L27" s="5">
        <f t="shared" si="2"/>
        <v>2.425563328294724E-15</v>
      </c>
      <c r="M27" s="5">
        <f t="shared" si="9"/>
        <v>4.861410430688639E-13</v>
      </c>
      <c r="O27" s="4">
        <f t="shared" si="12"/>
        <v>40</v>
      </c>
      <c r="P27" s="8">
        <f t="shared" si="10"/>
        <v>0.4</v>
      </c>
      <c r="U27">
        <f t="shared" si="11"/>
        <v>0.04</v>
      </c>
      <c r="V27">
        <f t="shared" si="4"/>
        <v>0.2</v>
      </c>
      <c r="W27">
        <f t="shared" si="5"/>
        <v>0.2</v>
      </c>
      <c r="X27">
        <f t="shared" si="14"/>
        <v>0</v>
      </c>
      <c r="Y27">
        <f t="shared" si="14"/>
        <v>0</v>
      </c>
      <c r="Z27">
        <f t="shared" si="14"/>
        <v>1</v>
      </c>
      <c r="AA27">
        <f t="shared" si="14"/>
        <v>0</v>
      </c>
      <c r="AB27">
        <f t="shared" si="14"/>
        <v>0</v>
      </c>
      <c r="AC27">
        <f t="shared" si="14"/>
        <v>0</v>
      </c>
      <c r="AD27">
        <f t="shared" si="14"/>
        <v>0</v>
      </c>
    </row>
    <row r="28" spans="1:30" ht="12.75">
      <c r="A28" t="s">
        <v>21</v>
      </c>
      <c r="B28" t="s">
        <v>40</v>
      </c>
      <c r="C28" t="s">
        <v>20</v>
      </c>
      <c r="D28">
        <v>50</v>
      </c>
      <c r="E28" s="33">
        <v>24</v>
      </c>
      <c r="F28" s="33">
        <v>132</v>
      </c>
      <c r="G28" s="33">
        <v>124</v>
      </c>
      <c r="I28">
        <v>4</v>
      </c>
      <c r="J28" s="5">
        <f t="shared" si="0"/>
        <v>2.6482229240794794E-14</v>
      </c>
      <c r="K28" s="5">
        <f t="shared" si="1"/>
        <v>3.019793773416002E-14</v>
      </c>
      <c r="L28" s="5">
        <f t="shared" si="2"/>
        <v>3.007698527085458E-14</v>
      </c>
      <c r="M28" s="5">
        <f t="shared" si="9"/>
        <v>9.72282086137728E-13</v>
      </c>
      <c r="O28" s="4">
        <f t="shared" si="12"/>
        <v>20</v>
      </c>
      <c r="P28" s="8">
        <f t="shared" si="10"/>
        <v>0.4</v>
      </c>
      <c r="Q28" s="5">
        <f>0.000000000017*(2/25)</f>
        <v>1.36E-12</v>
      </c>
      <c r="S28">
        <v>2</v>
      </c>
      <c r="U28">
        <f t="shared" si="11"/>
        <v>0.48</v>
      </c>
      <c r="V28">
        <f t="shared" si="4"/>
        <v>2.64</v>
      </c>
      <c r="W28">
        <f t="shared" si="5"/>
        <v>2.48</v>
      </c>
      <c r="X28">
        <f t="shared" si="14"/>
        <v>0</v>
      </c>
      <c r="Y28">
        <f t="shared" si="14"/>
        <v>0</v>
      </c>
      <c r="Z28">
        <f t="shared" si="14"/>
        <v>1</v>
      </c>
      <c r="AA28">
        <f t="shared" si="14"/>
        <v>0</v>
      </c>
      <c r="AB28">
        <f t="shared" si="14"/>
        <v>0</v>
      </c>
      <c r="AC28">
        <f t="shared" si="14"/>
        <v>0</v>
      </c>
      <c r="AD28">
        <f t="shared" si="14"/>
        <v>0</v>
      </c>
    </row>
    <row r="29" spans="1:30" ht="12.75">
      <c r="A29" t="s">
        <v>21</v>
      </c>
      <c r="B29" t="s">
        <v>42</v>
      </c>
      <c r="C29" t="s">
        <v>41</v>
      </c>
      <c r="D29">
        <v>10</v>
      </c>
      <c r="E29">
        <v>12</v>
      </c>
      <c r="F29">
        <f>5*12+6*6</f>
        <v>96</v>
      </c>
      <c r="G29">
        <f>3*12+6*6</f>
        <v>72</v>
      </c>
      <c r="H29">
        <f>PI()*0.005^2</f>
        <v>7.853981633974483E-05</v>
      </c>
      <c r="I29">
        <v>4</v>
      </c>
      <c r="J29" s="5">
        <f t="shared" si="0"/>
        <v>6.620557310198699E-14</v>
      </c>
      <c r="K29" s="5">
        <f t="shared" si="1"/>
        <v>1.0981068266967279E-13</v>
      </c>
      <c r="L29" s="5">
        <f t="shared" si="2"/>
        <v>8.732027981861007E-14</v>
      </c>
      <c r="M29" s="5">
        <f t="shared" si="9"/>
        <v>4.861410430688639E-12</v>
      </c>
      <c r="O29" s="4">
        <f t="shared" si="12"/>
        <v>4</v>
      </c>
      <c r="P29" s="8">
        <f t="shared" si="10"/>
        <v>0.4</v>
      </c>
      <c r="U29">
        <f t="shared" si="11"/>
        <v>1.2</v>
      </c>
      <c r="V29">
        <f t="shared" si="4"/>
        <v>9.6</v>
      </c>
      <c r="W29">
        <f t="shared" si="5"/>
        <v>7.2</v>
      </c>
      <c r="X29">
        <f t="shared" si="14"/>
        <v>0</v>
      </c>
      <c r="Y29">
        <f t="shared" si="14"/>
        <v>0</v>
      </c>
      <c r="Z29">
        <f t="shared" si="14"/>
        <v>1</v>
      </c>
      <c r="AA29">
        <f t="shared" si="14"/>
        <v>0</v>
      </c>
      <c r="AB29">
        <f t="shared" si="14"/>
        <v>0</v>
      </c>
      <c r="AC29">
        <f t="shared" si="14"/>
        <v>0</v>
      </c>
      <c r="AD29">
        <f t="shared" si="14"/>
        <v>0</v>
      </c>
    </row>
    <row r="30" spans="1:30" ht="12.75">
      <c r="A30" t="s">
        <v>21</v>
      </c>
      <c r="B30" t="s">
        <v>43</v>
      </c>
      <c r="C30" t="s">
        <v>41</v>
      </c>
      <c r="D30">
        <v>10</v>
      </c>
      <c r="E30">
        <v>8</v>
      </c>
      <c r="F30">
        <f>(5+2)*8</f>
        <v>56</v>
      </c>
      <c r="G30">
        <f>(3+2)*8</f>
        <v>40</v>
      </c>
      <c r="H30">
        <f>PI()*0.001^2</f>
        <v>3.141592653589793E-06</v>
      </c>
      <c r="I30">
        <v>4</v>
      </c>
      <c r="J30" s="5">
        <f t="shared" si="0"/>
        <v>4.413704873465799E-14</v>
      </c>
      <c r="K30" s="5">
        <f t="shared" si="1"/>
        <v>6.405623155730912E-14</v>
      </c>
      <c r="L30" s="5">
        <f t="shared" si="2"/>
        <v>4.851126656589448E-14</v>
      </c>
      <c r="M30" s="5">
        <f t="shared" si="9"/>
        <v>4.861410430688639E-12</v>
      </c>
      <c r="O30" s="4">
        <f t="shared" si="12"/>
        <v>4</v>
      </c>
      <c r="P30" s="8">
        <f t="shared" si="10"/>
        <v>0.4</v>
      </c>
      <c r="U30">
        <f t="shared" si="11"/>
        <v>0.8</v>
      </c>
      <c r="V30">
        <f t="shared" si="4"/>
        <v>5.6</v>
      </c>
      <c r="W30">
        <f t="shared" si="5"/>
        <v>4</v>
      </c>
      <c r="X30">
        <f t="shared" si="14"/>
        <v>0</v>
      </c>
      <c r="Y30">
        <f t="shared" si="14"/>
        <v>0</v>
      </c>
      <c r="Z30">
        <f t="shared" si="14"/>
        <v>1</v>
      </c>
      <c r="AA30">
        <f t="shared" si="14"/>
        <v>0</v>
      </c>
      <c r="AB30">
        <f t="shared" si="14"/>
        <v>0</v>
      </c>
      <c r="AC30">
        <f t="shared" si="14"/>
        <v>0</v>
      </c>
      <c r="AD30">
        <f t="shared" si="14"/>
        <v>0</v>
      </c>
    </row>
    <row r="31" spans="1:30" ht="12.75">
      <c r="A31" t="s">
        <v>21</v>
      </c>
      <c r="B31" t="s">
        <v>51</v>
      </c>
      <c r="C31" t="s">
        <v>50</v>
      </c>
      <c r="D31">
        <v>1</v>
      </c>
      <c r="E31">
        <v>1</v>
      </c>
      <c r="F31">
        <v>5</v>
      </c>
      <c r="G31">
        <v>3</v>
      </c>
      <c r="I31">
        <v>1</v>
      </c>
      <c r="J31" s="5">
        <f t="shared" si="0"/>
        <v>1.3792827729580622E-14</v>
      </c>
      <c r="K31" s="5">
        <f t="shared" si="1"/>
        <v>1.4298265972613642E-14</v>
      </c>
      <c r="L31" s="5">
        <f t="shared" si="2"/>
        <v>9.095862481105215E-15</v>
      </c>
      <c r="M31" s="5">
        <f t="shared" si="9"/>
        <v>1.2153526076721597E-11</v>
      </c>
      <c r="O31" s="4">
        <f t="shared" si="12"/>
        <v>2</v>
      </c>
      <c r="P31" s="8">
        <f t="shared" si="10"/>
        <v>2</v>
      </c>
      <c r="U31">
        <f t="shared" si="11"/>
        <v>1</v>
      </c>
      <c r="V31">
        <f t="shared" si="4"/>
        <v>5</v>
      </c>
      <c r="W31">
        <f t="shared" si="5"/>
        <v>3</v>
      </c>
      <c r="X31">
        <f t="shared" si="14"/>
        <v>0</v>
      </c>
      <c r="Y31">
        <f t="shared" si="14"/>
        <v>0</v>
      </c>
      <c r="Z31">
        <f t="shared" si="14"/>
        <v>1</v>
      </c>
      <c r="AA31">
        <f t="shared" si="14"/>
        <v>0</v>
      </c>
      <c r="AB31">
        <f t="shared" si="14"/>
        <v>0</v>
      </c>
      <c r="AC31">
        <f t="shared" si="14"/>
        <v>0</v>
      </c>
      <c r="AD31">
        <f t="shared" si="14"/>
        <v>0</v>
      </c>
    </row>
    <row r="32" spans="1:30" ht="12.75">
      <c r="A32" t="s">
        <v>21</v>
      </c>
      <c r="B32" t="s">
        <v>52</v>
      </c>
      <c r="C32" t="s">
        <v>50</v>
      </c>
      <c r="D32">
        <v>1</v>
      </c>
      <c r="E32">
        <v>0</v>
      </c>
      <c r="F32">
        <v>6</v>
      </c>
      <c r="G32">
        <v>6</v>
      </c>
      <c r="I32">
        <v>1</v>
      </c>
      <c r="J32" s="5">
        <f t="shared" si="0"/>
        <v>0</v>
      </c>
      <c r="K32" s="5">
        <f t="shared" si="1"/>
        <v>1.7157919167136375E-14</v>
      </c>
      <c r="L32" s="5">
        <f t="shared" si="2"/>
        <v>1.819172496221043E-14</v>
      </c>
      <c r="M32" s="5">
        <f t="shared" si="9"/>
        <v>1.2153526076721599E-11</v>
      </c>
      <c r="O32" s="4">
        <f t="shared" si="12"/>
        <v>2</v>
      </c>
      <c r="P32" s="8">
        <f t="shared" si="10"/>
        <v>2</v>
      </c>
      <c r="U32">
        <f t="shared" si="11"/>
        <v>0</v>
      </c>
      <c r="V32">
        <f t="shared" si="4"/>
        <v>6</v>
      </c>
      <c r="W32">
        <f t="shared" si="5"/>
        <v>6</v>
      </c>
      <c r="X32">
        <f t="shared" si="14"/>
        <v>0</v>
      </c>
      <c r="Y32">
        <f t="shared" si="14"/>
        <v>0</v>
      </c>
      <c r="Z32">
        <f t="shared" si="14"/>
        <v>1</v>
      </c>
      <c r="AA32">
        <f t="shared" si="14"/>
        <v>0</v>
      </c>
      <c r="AB32">
        <f t="shared" si="14"/>
        <v>0</v>
      </c>
      <c r="AC32">
        <f t="shared" si="14"/>
        <v>0</v>
      </c>
      <c r="AD32">
        <f t="shared" si="14"/>
        <v>0</v>
      </c>
    </row>
    <row r="33" spans="1:30" ht="12.75">
      <c r="A33" t="s">
        <v>21</v>
      </c>
      <c r="B33" t="s">
        <v>53</v>
      </c>
      <c r="C33" t="s">
        <v>50</v>
      </c>
      <c r="D33">
        <v>2</v>
      </c>
      <c r="E33">
        <v>0</v>
      </c>
      <c r="F33">
        <v>4</v>
      </c>
      <c r="G33">
        <v>4</v>
      </c>
      <c r="I33">
        <v>1</v>
      </c>
      <c r="J33" s="5">
        <f t="shared" si="0"/>
        <v>0</v>
      </c>
      <c r="K33" s="5">
        <f t="shared" si="1"/>
        <v>5.719306389045458E-15</v>
      </c>
      <c r="L33" s="5">
        <f t="shared" si="2"/>
        <v>6.06390832073681E-15</v>
      </c>
      <c r="M33" s="5">
        <f t="shared" si="9"/>
        <v>6.076763038360799E-12</v>
      </c>
      <c r="O33" s="4">
        <f t="shared" si="12"/>
        <v>4</v>
      </c>
      <c r="P33" s="8">
        <f t="shared" si="10"/>
        <v>2</v>
      </c>
      <c r="U33">
        <f t="shared" si="11"/>
        <v>0</v>
      </c>
      <c r="V33">
        <f t="shared" si="4"/>
        <v>2</v>
      </c>
      <c r="W33">
        <f t="shared" si="5"/>
        <v>2</v>
      </c>
      <c r="X33">
        <f t="shared" si="14"/>
        <v>0</v>
      </c>
      <c r="Y33">
        <f t="shared" si="14"/>
        <v>0</v>
      </c>
      <c r="Z33">
        <f t="shared" si="14"/>
        <v>1</v>
      </c>
      <c r="AA33">
        <f t="shared" si="14"/>
        <v>0</v>
      </c>
      <c r="AB33">
        <f t="shared" si="14"/>
        <v>0</v>
      </c>
      <c r="AC33">
        <f t="shared" si="14"/>
        <v>0</v>
      </c>
      <c r="AD33">
        <f t="shared" si="14"/>
        <v>0</v>
      </c>
    </row>
    <row r="34" spans="1:30" ht="12.75">
      <c r="A34" t="s">
        <v>54</v>
      </c>
      <c r="B34" t="s">
        <v>55</v>
      </c>
      <c r="C34" t="s">
        <v>56</v>
      </c>
      <c r="D34">
        <v>1</v>
      </c>
      <c r="E34">
        <v>0</v>
      </c>
      <c r="F34">
        <v>1</v>
      </c>
      <c r="G34">
        <v>1</v>
      </c>
      <c r="I34">
        <v>1</v>
      </c>
      <c r="J34" s="5">
        <f t="shared" si="0"/>
        <v>0</v>
      </c>
      <c r="K34" s="5">
        <f t="shared" si="1"/>
        <v>2.859653194522729E-15</v>
      </c>
      <c r="L34" s="5">
        <f t="shared" si="2"/>
        <v>3.031954160368405E-15</v>
      </c>
      <c r="M34" s="5">
        <f t="shared" si="9"/>
        <v>1.2153526076721597E-11</v>
      </c>
      <c r="O34" s="4">
        <f t="shared" si="12"/>
        <v>2</v>
      </c>
      <c r="P34" s="8">
        <f t="shared" si="10"/>
        <v>2</v>
      </c>
      <c r="U34">
        <f t="shared" si="11"/>
        <v>0</v>
      </c>
      <c r="V34">
        <f t="shared" si="4"/>
        <v>1</v>
      </c>
      <c r="W34">
        <f t="shared" si="5"/>
        <v>1</v>
      </c>
      <c r="X34">
        <f t="shared" si="14"/>
        <v>0</v>
      </c>
      <c r="Y34">
        <f t="shared" si="14"/>
        <v>0</v>
      </c>
      <c r="Z34">
        <f t="shared" si="14"/>
        <v>0</v>
      </c>
      <c r="AA34">
        <f t="shared" si="14"/>
        <v>1</v>
      </c>
      <c r="AB34">
        <f t="shared" si="14"/>
        <v>0</v>
      </c>
      <c r="AC34">
        <f t="shared" si="14"/>
        <v>0</v>
      </c>
      <c r="AD34">
        <f t="shared" si="14"/>
        <v>0</v>
      </c>
    </row>
    <row r="35" spans="1:30" ht="12.75">
      <c r="A35" t="s">
        <v>54</v>
      </c>
      <c r="B35" t="s">
        <v>57</v>
      </c>
      <c r="C35" t="s">
        <v>56</v>
      </c>
      <c r="D35">
        <v>4</v>
      </c>
      <c r="E35">
        <v>0</v>
      </c>
      <c r="F35">
        <v>12</v>
      </c>
      <c r="G35">
        <v>12</v>
      </c>
      <c r="I35">
        <v>1</v>
      </c>
      <c r="J35" s="5">
        <f t="shared" si="0"/>
        <v>0</v>
      </c>
      <c r="K35" s="5">
        <f t="shared" si="1"/>
        <v>8.578959583568188E-15</v>
      </c>
      <c r="L35" s="5">
        <f t="shared" si="2"/>
        <v>9.095862481105215E-15</v>
      </c>
      <c r="M35" s="5">
        <f t="shared" si="9"/>
        <v>3.0383815191803998E-12</v>
      </c>
      <c r="O35" s="4">
        <f t="shared" si="12"/>
        <v>7</v>
      </c>
      <c r="P35" s="8">
        <f t="shared" si="10"/>
        <v>1.75</v>
      </c>
      <c r="U35">
        <f t="shared" si="11"/>
        <v>0</v>
      </c>
      <c r="V35">
        <f t="shared" si="4"/>
        <v>3</v>
      </c>
      <c r="W35">
        <f t="shared" si="5"/>
        <v>3</v>
      </c>
      <c r="X35">
        <f t="shared" si="14"/>
        <v>0</v>
      </c>
      <c r="Y35">
        <f t="shared" si="14"/>
        <v>0</v>
      </c>
      <c r="Z35">
        <f t="shared" si="14"/>
        <v>0</v>
      </c>
      <c r="AA35">
        <f t="shared" si="14"/>
        <v>1</v>
      </c>
      <c r="AB35">
        <f t="shared" si="14"/>
        <v>0</v>
      </c>
      <c r="AC35">
        <f t="shared" si="14"/>
        <v>0</v>
      </c>
      <c r="AD35">
        <f t="shared" si="14"/>
        <v>0</v>
      </c>
    </row>
    <row r="36" spans="1:30" ht="12.75">
      <c r="A36" t="s">
        <v>60</v>
      </c>
      <c r="B36" t="s">
        <v>61</v>
      </c>
      <c r="C36" t="s">
        <v>32</v>
      </c>
      <c r="D36">
        <v>2</v>
      </c>
      <c r="E36">
        <v>0</v>
      </c>
      <c r="F36">
        <v>5</v>
      </c>
      <c r="G36">
        <v>5</v>
      </c>
      <c r="I36">
        <v>2</v>
      </c>
      <c r="J36" s="5">
        <f t="shared" si="0"/>
        <v>0</v>
      </c>
      <c r="K36" s="5">
        <f t="shared" si="1"/>
        <v>1.4298265972613642E-14</v>
      </c>
      <c r="L36" s="5">
        <f t="shared" si="2"/>
        <v>1.5159770801842024E-14</v>
      </c>
      <c r="M36" s="5">
        <f t="shared" si="9"/>
        <v>1.2153526076721597E-11</v>
      </c>
      <c r="O36" s="4">
        <f t="shared" si="12"/>
        <v>2</v>
      </c>
      <c r="P36" s="8">
        <f t="shared" si="10"/>
        <v>1</v>
      </c>
      <c r="U36">
        <f t="shared" si="11"/>
        <v>0</v>
      </c>
      <c r="V36">
        <f t="shared" si="4"/>
        <v>2.5</v>
      </c>
      <c r="W36">
        <f t="shared" si="5"/>
        <v>2.5</v>
      </c>
      <c r="X36">
        <f t="shared" si="14"/>
        <v>0</v>
      </c>
      <c r="Y36">
        <f t="shared" si="14"/>
        <v>0</v>
      </c>
      <c r="Z36">
        <f t="shared" si="14"/>
        <v>0</v>
      </c>
      <c r="AA36">
        <f t="shared" si="14"/>
        <v>0</v>
      </c>
      <c r="AB36">
        <f t="shared" si="14"/>
        <v>1</v>
      </c>
      <c r="AC36">
        <f t="shared" si="14"/>
        <v>0</v>
      </c>
      <c r="AD36">
        <f t="shared" si="14"/>
        <v>0</v>
      </c>
    </row>
    <row r="37" spans="1:30" ht="12.75">
      <c r="A37" t="s">
        <v>60</v>
      </c>
      <c r="B37" t="s">
        <v>62</v>
      </c>
      <c r="C37" t="s">
        <v>32</v>
      </c>
      <c r="D37">
        <v>1</v>
      </c>
      <c r="E37">
        <v>0</v>
      </c>
      <c r="F37">
        <v>4</v>
      </c>
      <c r="G37">
        <v>4</v>
      </c>
      <c r="I37">
        <v>2</v>
      </c>
      <c r="J37" s="5">
        <f t="shared" si="0"/>
        <v>0</v>
      </c>
      <c r="K37" s="5">
        <f t="shared" si="1"/>
        <v>2.287722555618183E-14</v>
      </c>
      <c r="L37" s="5">
        <f t="shared" si="2"/>
        <v>2.425563328294724E-14</v>
      </c>
      <c r="M37" s="5">
        <f t="shared" si="9"/>
        <v>2.4307052153443195E-11</v>
      </c>
      <c r="O37" s="4">
        <f t="shared" si="12"/>
        <v>1</v>
      </c>
      <c r="P37" s="8">
        <f t="shared" si="10"/>
        <v>1</v>
      </c>
      <c r="U37">
        <f t="shared" si="11"/>
        <v>0</v>
      </c>
      <c r="V37">
        <f t="shared" si="4"/>
        <v>4</v>
      </c>
      <c r="W37">
        <f t="shared" si="5"/>
        <v>4</v>
      </c>
      <c r="X37">
        <f t="shared" si="14"/>
        <v>0</v>
      </c>
      <c r="Y37">
        <f t="shared" si="14"/>
        <v>0</v>
      </c>
      <c r="Z37">
        <f t="shared" si="14"/>
        <v>0</v>
      </c>
      <c r="AA37">
        <f t="shared" si="14"/>
        <v>0</v>
      </c>
      <c r="AB37">
        <f t="shared" si="14"/>
        <v>1</v>
      </c>
      <c r="AC37">
        <f t="shared" si="14"/>
        <v>0</v>
      </c>
      <c r="AD37">
        <f t="shared" si="14"/>
        <v>0</v>
      </c>
    </row>
    <row r="38" spans="1:30" ht="12.75">
      <c r="A38" t="s">
        <v>60</v>
      </c>
      <c r="B38" t="s">
        <v>63</v>
      </c>
      <c r="C38" t="s">
        <v>32</v>
      </c>
      <c r="D38">
        <v>1</v>
      </c>
      <c r="E38">
        <v>1</v>
      </c>
      <c r="F38">
        <v>1</v>
      </c>
      <c r="G38">
        <v>0</v>
      </c>
      <c r="I38">
        <v>2</v>
      </c>
      <c r="J38" s="5">
        <f t="shared" si="0"/>
        <v>2.7585655459161244E-14</v>
      </c>
      <c r="K38" s="5">
        <f t="shared" si="1"/>
        <v>5.719306389045458E-15</v>
      </c>
      <c r="L38" s="5">
        <f t="shared" si="2"/>
        <v>0</v>
      </c>
      <c r="M38" s="5">
        <f t="shared" si="9"/>
        <v>2.4307052153443195E-11</v>
      </c>
      <c r="O38" s="4">
        <f t="shared" si="12"/>
        <v>1</v>
      </c>
      <c r="P38" s="8">
        <f t="shared" si="10"/>
        <v>1</v>
      </c>
      <c r="U38">
        <f t="shared" si="11"/>
        <v>1</v>
      </c>
      <c r="V38">
        <f t="shared" si="4"/>
        <v>1</v>
      </c>
      <c r="W38">
        <f t="shared" si="5"/>
        <v>0</v>
      </c>
      <c r="X38">
        <f t="shared" si="14"/>
        <v>0</v>
      </c>
      <c r="Y38">
        <f t="shared" si="14"/>
        <v>0</v>
      </c>
      <c r="Z38">
        <f t="shared" si="14"/>
        <v>0</v>
      </c>
      <c r="AA38">
        <f t="shared" si="14"/>
        <v>0</v>
      </c>
      <c r="AB38">
        <f t="shared" si="14"/>
        <v>1</v>
      </c>
      <c r="AC38">
        <f t="shared" si="14"/>
        <v>0</v>
      </c>
      <c r="AD38">
        <f t="shared" si="14"/>
        <v>0</v>
      </c>
    </row>
    <row r="39" spans="1:30" ht="12.75">
      <c r="A39" t="s">
        <v>60</v>
      </c>
      <c r="B39" t="s">
        <v>64</v>
      </c>
      <c r="C39" t="s">
        <v>32</v>
      </c>
      <c r="D39">
        <v>1</v>
      </c>
      <c r="E39">
        <v>1</v>
      </c>
      <c r="F39">
        <v>4</v>
      </c>
      <c r="G39">
        <v>4</v>
      </c>
      <c r="I39">
        <v>2</v>
      </c>
      <c r="J39" s="5">
        <f t="shared" si="0"/>
        <v>2.7585655459161244E-14</v>
      </c>
      <c r="K39" s="5">
        <f t="shared" si="1"/>
        <v>2.287722555618183E-14</v>
      </c>
      <c r="L39" s="5">
        <f t="shared" si="2"/>
        <v>2.425563328294724E-14</v>
      </c>
      <c r="M39" s="5">
        <f t="shared" si="9"/>
        <v>2.4307052153443195E-11</v>
      </c>
      <c r="O39" s="4">
        <f t="shared" si="12"/>
        <v>1</v>
      </c>
      <c r="P39" s="8">
        <f t="shared" si="10"/>
        <v>1</v>
      </c>
      <c r="U39">
        <f t="shared" si="11"/>
        <v>1</v>
      </c>
      <c r="V39">
        <f t="shared" si="4"/>
        <v>4</v>
      </c>
      <c r="W39">
        <f t="shared" si="5"/>
        <v>4</v>
      </c>
      <c r="X39">
        <f aca="true" t="shared" si="15" ref="X39:AD43">IF($A39=X$5,1,0)</f>
        <v>0</v>
      </c>
      <c r="Y39">
        <f t="shared" si="15"/>
        <v>0</v>
      </c>
      <c r="Z39">
        <f t="shared" si="15"/>
        <v>0</v>
      </c>
      <c r="AA39">
        <f t="shared" si="15"/>
        <v>0</v>
      </c>
      <c r="AB39">
        <f t="shared" si="15"/>
        <v>1</v>
      </c>
      <c r="AC39">
        <f t="shared" si="15"/>
        <v>0</v>
      </c>
      <c r="AD39">
        <f t="shared" si="15"/>
        <v>0</v>
      </c>
    </row>
    <row r="40" spans="1:30" ht="12.75">
      <c r="A40" t="s">
        <v>60</v>
      </c>
      <c r="B40" t="s">
        <v>65</v>
      </c>
      <c r="C40" t="s">
        <v>66</v>
      </c>
      <c r="D40">
        <v>1</v>
      </c>
      <c r="E40">
        <v>0</v>
      </c>
      <c r="F40">
        <v>2</v>
      </c>
      <c r="G40">
        <v>2</v>
      </c>
      <c r="I40">
        <v>2</v>
      </c>
      <c r="J40" s="5">
        <f t="shared" si="0"/>
        <v>0</v>
      </c>
      <c r="K40" s="5">
        <f t="shared" si="1"/>
        <v>1.1438612778090916E-14</v>
      </c>
      <c r="L40" s="5">
        <f t="shared" si="2"/>
        <v>1.212781664147362E-14</v>
      </c>
      <c r="M40" s="5">
        <f t="shared" si="9"/>
        <v>2.4307052153443195E-11</v>
      </c>
      <c r="O40" s="4">
        <f t="shared" si="12"/>
        <v>1</v>
      </c>
      <c r="P40" s="8">
        <f t="shared" si="10"/>
        <v>1</v>
      </c>
      <c r="U40">
        <f t="shared" si="11"/>
        <v>0</v>
      </c>
      <c r="V40">
        <f t="shared" si="4"/>
        <v>2</v>
      </c>
      <c r="W40">
        <f t="shared" si="5"/>
        <v>2</v>
      </c>
      <c r="X40">
        <f t="shared" si="15"/>
        <v>0</v>
      </c>
      <c r="Y40">
        <f t="shared" si="15"/>
        <v>0</v>
      </c>
      <c r="Z40">
        <f t="shared" si="15"/>
        <v>0</v>
      </c>
      <c r="AA40">
        <f t="shared" si="15"/>
        <v>0</v>
      </c>
      <c r="AB40">
        <f t="shared" si="15"/>
        <v>1</v>
      </c>
      <c r="AC40">
        <f t="shared" si="15"/>
        <v>0</v>
      </c>
      <c r="AD40">
        <f t="shared" si="15"/>
        <v>0</v>
      </c>
    </row>
    <row r="41" spans="1:30" ht="12.75">
      <c r="A41" t="s">
        <v>60</v>
      </c>
      <c r="B41" t="s">
        <v>57</v>
      </c>
      <c r="C41" t="s">
        <v>56</v>
      </c>
      <c r="D41">
        <v>10</v>
      </c>
      <c r="E41">
        <v>2</v>
      </c>
      <c r="F41">
        <v>16</v>
      </c>
      <c r="G41">
        <v>16</v>
      </c>
      <c r="I41">
        <v>1</v>
      </c>
      <c r="J41" s="5">
        <f t="shared" si="0"/>
        <v>2.7585655459161245E-15</v>
      </c>
      <c r="K41" s="5">
        <f t="shared" si="1"/>
        <v>4.575445111236366E-15</v>
      </c>
      <c r="L41" s="5">
        <f t="shared" si="2"/>
        <v>4.851126656589448E-15</v>
      </c>
      <c r="M41" s="5">
        <f t="shared" si="9"/>
        <v>1.2153526076721597E-12</v>
      </c>
      <c r="O41" s="4">
        <f t="shared" si="12"/>
        <v>16</v>
      </c>
      <c r="P41" s="8">
        <f t="shared" si="10"/>
        <v>1.6</v>
      </c>
      <c r="U41">
        <f t="shared" si="11"/>
        <v>0.2</v>
      </c>
      <c r="V41">
        <f t="shared" si="4"/>
        <v>1.6</v>
      </c>
      <c r="W41">
        <f t="shared" si="5"/>
        <v>1.6</v>
      </c>
      <c r="X41">
        <f t="shared" si="15"/>
        <v>0</v>
      </c>
      <c r="Y41">
        <f t="shared" si="15"/>
        <v>0</v>
      </c>
      <c r="Z41">
        <f t="shared" si="15"/>
        <v>0</v>
      </c>
      <c r="AA41">
        <f t="shared" si="15"/>
        <v>0</v>
      </c>
      <c r="AB41">
        <f t="shared" si="15"/>
        <v>1</v>
      </c>
      <c r="AC41">
        <f t="shared" si="15"/>
        <v>0</v>
      </c>
      <c r="AD41">
        <f t="shared" si="15"/>
        <v>0</v>
      </c>
    </row>
    <row r="42" spans="1:30" ht="12.75">
      <c r="A42" t="s">
        <v>67</v>
      </c>
      <c r="B42" t="s">
        <v>68</v>
      </c>
      <c r="C42" t="s">
        <v>69</v>
      </c>
      <c r="D42">
        <v>1</v>
      </c>
      <c r="E42">
        <v>1</v>
      </c>
      <c r="F42">
        <v>7</v>
      </c>
      <c r="G42">
        <v>7</v>
      </c>
      <c r="I42">
        <v>2</v>
      </c>
      <c r="J42" s="5">
        <f t="shared" si="0"/>
        <v>2.7585655459161244E-14</v>
      </c>
      <c r="K42" s="5">
        <f t="shared" si="1"/>
        <v>4.0035144723318204E-14</v>
      </c>
      <c r="L42" s="5">
        <f t="shared" si="2"/>
        <v>4.244735824515767E-14</v>
      </c>
      <c r="M42" s="5">
        <f t="shared" si="9"/>
        <v>2.4307052153443195E-11</v>
      </c>
      <c r="O42" s="4">
        <f t="shared" si="12"/>
        <v>1</v>
      </c>
      <c r="P42" s="8">
        <f t="shared" si="10"/>
        <v>1</v>
      </c>
      <c r="U42">
        <f t="shared" si="11"/>
        <v>1</v>
      </c>
      <c r="V42">
        <f t="shared" si="4"/>
        <v>7</v>
      </c>
      <c r="W42">
        <f t="shared" si="5"/>
        <v>7</v>
      </c>
      <c r="X42">
        <f t="shared" si="15"/>
        <v>0</v>
      </c>
      <c r="Y42">
        <f t="shared" si="15"/>
        <v>0</v>
      </c>
      <c r="Z42">
        <f t="shared" si="15"/>
        <v>0</v>
      </c>
      <c r="AA42">
        <f t="shared" si="15"/>
        <v>0</v>
      </c>
      <c r="AB42">
        <f t="shared" si="15"/>
        <v>0</v>
      </c>
      <c r="AC42">
        <f t="shared" si="15"/>
        <v>1</v>
      </c>
      <c r="AD42">
        <f t="shared" si="15"/>
        <v>0</v>
      </c>
    </row>
    <row r="43" spans="1:30" ht="13.5" thickBot="1">
      <c r="A43" t="s">
        <v>204</v>
      </c>
      <c r="B43" t="s">
        <v>205</v>
      </c>
      <c r="C43" s="26">
        <v>0.2</v>
      </c>
      <c r="D43">
        <v>1</v>
      </c>
      <c r="E43">
        <v>1</v>
      </c>
      <c r="F43">
        <v>1</v>
      </c>
      <c r="G43">
        <v>1</v>
      </c>
      <c r="I43">
        <v>4</v>
      </c>
      <c r="J43" s="5">
        <f t="shared" si="0"/>
        <v>5.517131091832249E-14</v>
      </c>
      <c r="K43" s="5">
        <f t="shared" si="1"/>
        <v>1.1438612778090916E-14</v>
      </c>
      <c r="L43" s="5">
        <f t="shared" si="2"/>
        <v>1.212781664147362E-14</v>
      </c>
      <c r="M43" s="5">
        <f t="shared" si="9"/>
        <v>4.861410430688639E-11</v>
      </c>
      <c r="O43" s="4">
        <f t="shared" si="12"/>
        <v>1</v>
      </c>
      <c r="P43" s="8">
        <f t="shared" si="10"/>
        <v>1</v>
      </c>
      <c r="U43">
        <f t="shared" si="11"/>
        <v>1</v>
      </c>
      <c r="V43">
        <f t="shared" si="4"/>
        <v>1</v>
      </c>
      <c r="W43">
        <f t="shared" si="5"/>
        <v>1</v>
      </c>
      <c r="X43">
        <f t="shared" si="15"/>
        <v>0</v>
      </c>
      <c r="Y43">
        <f t="shared" si="15"/>
        <v>0</v>
      </c>
      <c r="Z43">
        <f t="shared" si="15"/>
        <v>0</v>
      </c>
      <c r="AA43">
        <f t="shared" si="15"/>
        <v>0</v>
      </c>
      <c r="AB43">
        <f t="shared" si="15"/>
        <v>0</v>
      </c>
      <c r="AC43">
        <f t="shared" si="15"/>
        <v>0</v>
      </c>
      <c r="AD43">
        <f t="shared" si="15"/>
        <v>1</v>
      </c>
    </row>
    <row r="44" spans="5:32" ht="13.5" thickBot="1">
      <c r="E44" s="16">
        <f>SUMPRODUCT(U6:U43,$I6:$I43)</f>
        <v>166.75333333333327</v>
      </c>
      <c r="F44" s="17">
        <f>SUMPRODUCT(V6:V42,$I6:$I42)</f>
        <v>804.2933333333331</v>
      </c>
      <c r="G44" s="18">
        <f>SUMPRODUCT(W6:W42,$I6:$I42)</f>
        <v>758.5866666666665</v>
      </c>
      <c r="H44" s="37" t="s">
        <v>200</v>
      </c>
      <c r="I44" s="38"/>
      <c r="J44" s="14">
        <f>SUM(J6:J43)</f>
        <v>2.300000000000001E-12</v>
      </c>
      <c r="K44" s="14">
        <f>SUM(K6:K43)</f>
        <v>2.3114386127780903E-12</v>
      </c>
      <c r="L44" s="19">
        <f>SUM(L6:L43)</f>
        <v>2.3121278166414737E-12</v>
      </c>
      <c r="M44" s="20">
        <f>MIN(M6:M43)</f>
        <v>4.861410430688639E-13</v>
      </c>
      <c r="N44" s="17"/>
      <c r="O44" s="18" t="s">
        <v>202</v>
      </c>
      <c r="P44" s="8" t="str">
        <f>IF(MAX(P6:P42)&lt;=1,"OK","NG")</f>
        <v>NG</v>
      </c>
      <c r="X44">
        <f>SUMPRODUCT(X$6:X$43,$J$6:$J$43)</f>
        <v>1.9071802662615446E-12</v>
      </c>
      <c r="Y44">
        <f aca="true" t="shared" si="16" ref="Y44:AD44">SUMPRODUCT(Y$6:Y$43,$J$6:$J$43)</f>
        <v>0</v>
      </c>
      <c r="Z44">
        <f t="shared" si="16"/>
        <v>2.5213289089673374E-13</v>
      </c>
      <c r="AA44">
        <f t="shared" si="16"/>
        <v>0</v>
      </c>
      <c r="AB44">
        <f t="shared" si="16"/>
        <v>5.792987646423862E-14</v>
      </c>
      <c r="AC44">
        <f t="shared" si="16"/>
        <v>2.7585655459161244E-14</v>
      </c>
      <c r="AD44">
        <f t="shared" si="16"/>
        <v>5.517131091832249E-14</v>
      </c>
      <c r="AE44">
        <f>SUM(X44:AD44)</f>
        <v>2.3000000000000007E-12</v>
      </c>
      <c r="AF44" t="s">
        <v>240</v>
      </c>
    </row>
    <row r="45" spans="5:32" ht="13.5" thickBot="1">
      <c r="E45" s="42" t="s">
        <v>199</v>
      </c>
      <c r="F45" s="43"/>
      <c r="G45" s="44"/>
      <c r="H45" s="37" t="s">
        <v>201</v>
      </c>
      <c r="I45" s="38"/>
      <c r="J45" s="15">
        <v>2.3E-12</v>
      </c>
      <c r="M45" s="21">
        <f>MAX(M6:M43)</f>
        <v>4.861410430688639E-11</v>
      </c>
      <c r="N45" s="22"/>
      <c r="O45" s="23" t="s">
        <v>203</v>
      </c>
      <c r="X45">
        <f>SUMPRODUCT(X$6:X$43,$K$6:$K$43)</f>
        <v>1.7296707668843873E-12</v>
      </c>
      <c r="Y45">
        <f aca="true" t="shared" si="17" ref="Y45:AD45">SUMPRODUCT(Y$6:Y$43,$K$6:$K$43)</f>
        <v>0</v>
      </c>
      <c r="Z45">
        <f t="shared" si="17"/>
        <v>4.370693942508539E-13</v>
      </c>
      <c r="AA45">
        <f t="shared" si="17"/>
        <v>1.1438612778090916E-14</v>
      </c>
      <c r="AB45">
        <f t="shared" si="17"/>
        <v>8.178608136335004E-14</v>
      </c>
      <c r="AC45">
        <f t="shared" si="17"/>
        <v>4.0035144723318204E-14</v>
      </c>
      <c r="AD45">
        <f t="shared" si="17"/>
        <v>1.1438612778090916E-14</v>
      </c>
      <c r="AE45">
        <f>SUM(X45:AD45)</f>
        <v>2.311438612778091E-12</v>
      </c>
      <c r="AF45" t="s">
        <v>24</v>
      </c>
    </row>
    <row r="46" spans="24:32" ht="12.75">
      <c r="X46">
        <f>SUMPRODUCT(X$6:X$43,$L$6:$L$43)</f>
        <v>1.8015467360354346E-12</v>
      </c>
      <c r="Y46">
        <f aca="true" t="shared" si="18" ref="Y46:AD46">SUMPRODUCT(Y$6:Y$43,$L$6:$L$43)</f>
        <v>0</v>
      </c>
      <c r="Z46">
        <f t="shared" si="18"/>
        <v>3.6322810841213494E-13</v>
      </c>
      <c r="AA46">
        <f t="shared" si="18"/>
        <v>1.212781664147362E-14</v>
      </c>
      <c r="AB46">
        <f t="shared" si="18"/>
        <v>8.064998066579957E-14</v>
      </c>
      <c r="AC46">
        <f t="shared" si="18"/>
        <v>4.244735824515767E-14</v>
      </c>
      <c r="AD46">
        <f t="shared" si="18"/>
        <v>1.212781664147362E-14</v>
      </c>
      <c r="AE46">
        <f>SUM(X46:AD46)</f>
        <v>2.3121278166414733E-12</v>
      </c>
      <c r="AF46" t="s">
        <v>25</v>
      </c>
    </row>
    <row r="47" spans="12:16" ht="12.75">
      <c r="L47" s="41" t="s">
        <v>28</v>
      </c>
      <c r="M47" s="41"/>
      <c r="N47" s="41"/>
      <c r="O47" s="41"/>
      <c r="P47" s="13">
        <v>37</v>
      </c>
    </row>
    <row r="48" spans="12:16" ht="12.75">
      <c r="L48" s="41" t="s">
        <v>198</v>
      </c>
      <c r="M48" s="41"/>
      <c r="N48" s="41"/>
      <c r="O48" s="41"/>
      <c r="P48" s="13">
        <f>P49*P47</f>
        <v>7.03E-10</v>
      </c>
    </row>
    <row r="49" spans="12:16" ht="12.75">
      <c r="L49" s="41" t="s">
        <v>197</v>
      </c>
      <c r="M49" s="41"/>
      <c r="N49" s="41"/>
      <c r="O49" s="41"/>
      <c r="P49" s="13">
        <v>1.9E-11</v>
      </c>
    </row>
    <row r="50" spans="12:16" ht="12.75">
      <c r="L50" s="10"/>
      <c r="M50" s="10"/>
      <c r="N50" s="10"/>
      <c r="O50" s="10"/>
      <c r="P50" s="11"/>
    </row>
    <row r="51" ht="12.75">
      <c r="A51" t="s">
        <v>71</v>
      </c>
    </row>
    <row r="52" spans="1:2" ht="12.75">
      <c r="A52">
        <v>1</v>
      </c>
      <c r="B52" t="s">
        <v>72</v>
      </c>
    </row>
    <row r="53" ht="12.75">
      <c r="B53" s="34" t="s">
        <v>73</v>
      </c>
    </row>
    <row r="54" spans="1:2" ht="12.75">
      <c r="A54">
        <v>2</v>
      </c>
      <c r="B54" t="s">
        <v>237</v>
      </c>
    </row>
    <row r="55" spans="1:2" ht="12.75">
      <c r="A55">
        <v>3</v>
      </c>
      <c r="B55" t="s">
        <v>74</v>
      </c>
    </row>
  </sheetData>
  <sheetProtection/>
  <mergeCells count="13">
    <mergeCell ref="L49:O49"/>
    <mergeCell ref="L47:O47"/>
    <mergeCell ref="E45:G45"/>
    <mergeCell ref="H45:I45"/>
    <mergeCell ref="Q4:R4"/>
    <mergeCell ref="I3:I5"/>
    <mergeCell ref="M4:N4"/>
    <mergeCell ref="D3:D5"/>
    <mergeCell ref="O4:P4"/>
    <mergeCell ref="H44:I44"/>
    <mergeCell ref="E3:H3"/>
    <mergeCell ref="J3:L3"/>
    <mergeCell ref="L48:O48"/>
  </mergeCells>
  <printOptions/>
  <pageMargins left="0.75" right="0.75" top="1" bottom="1" header="0.5" footer="0.5"/>
  <pageSetup fitToHeight="1" fitToWidth="1" horizontalDpi="1200" verticalDpi="1200" orientation="landscape" scale="3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M55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2.7109375" style="0" customWidth="1"/>
    <col min="2" max="2" width="20.8515625" style="0" customWidth="1"/>
    <col min="3" max="3" width="36.00390625" style="0" customWidth="1"/>
    <col min="4" max="5" width="16.7109375" style="5" customWidth="1"/>
    <col min="6" max="6" width="15.8515625" style="0" customWidth="1"/>
    <col min="7" max="7" width="12.421875" style="0" customWidth="1"/>
    <col min="8" max="11" width="8.140625" style="0" customWidth="1"/>
    <col min="13" max="13" width="29.28125" style="0" customWidth="1"/>
  </cols>
  <sheetData>
    <row r="4" ht="12.75">
      <c r="D4" s="5" t="s">
        <v>82</v>
      </c>
    </row>
    <row r="5" spans="1:12" ht="12.75">
      <c r="A5" t="s">
        <v>78</v>
      </c>
      <c r="B5" t="s">
        <v>79</v>
      </c>
      <c r="C5" t="s">
        <v>80</v>
      </c>
      <c r="D5" s="5" t="s">
        <v>84</v>
      </c>
      <c r="E5" s="5" t="s">
        <v>115</v>
      </c>
      <c r="F5" t="s">
        <v>83</v>
      </c>
      <c r="G5" t="s">
        <v>144</v>
      </c>
      <c r="H5" t="s">
        <v>141</v>
      </c>
      <c r="I5" t="s">
        <v>142</v>
      </c>
      <c r="J5" t="s">
        <v>143</v>
      </c>
      <c r="K5" t="s">
        <v>157</v>
      </c>
      <c r="L5" t="s">
        <v>85</v>
      </c>
    </row>
    <row r="6" ht="12.75">
      <c r="A6" s="6" t="s">
        <v>100</v>
      </c>
    </row>
    <row r="7" spans="1:12" ht="12.75">
      <c r="A7" t="s">
        <v>75</v>
      </c>
      <c r="B7" t="s">
        <v>76</v>
      </c>
      <c r="C7" t="s">
        <v>81</v>
      </c>
      <c r="D7" s="5">
        <v>6.6E-12</v>
      </c>
      <c r="F7" t="s">
        <v>77</v>
      </c>
      <c r="L7" t="s">
        <v>90</v>
      </c>
    </row>
    <row r="8" spans="4:13" ht="12.75">
      <c r="D8" s="5">
        <v>8.2E-11</v>
      </c>
      <c r="F8" t="s">
        <v>98</v>
      </c>
      <c r="L8" t="s">
        <v>90</v>
      </c>
      <c r="M8" t="s">
        <v>99</v>
      </c>
    </row>
    <row r="9" spans="1:12" ht="12.75">
      <c r="A9" t="s">
        <v>87</v>
      </c>
      <c r="B9" t="s">
        <v>92</v>
      </c>
      <c r="C9" t="s">
        <v>88</v>
      </c>
      <c r="D9" s="5">
        <v>3E-11</v>
      </c>
      <c r="F9" t="s">
        <v>89</v>
      </c>
      <c r="L9" t="s">
        <v>86</v>
      </c>
    </row>
    <row r="10" spans="1:12" ht="12.75">
      <c r="A10" t="s">
        <v>91</v>
      </c>
      <c r="B10" t="s">
        <v>93</v>
      </c>
      <c r="C10" t="s">
        <v>81</v>
      </c>
      <c r="D10" s="5">
        <v>1.8E-10</v>
      </c>
      <c r="F10" t="s">
        <v>94</v>
      </c>
      <c r="L10" t="s">
        <v>90</v>
      </c>
    </row>
    <row r="19" ht="12.75">
      <c r="A19" s="6" t="s">
        <v>116</v>
      </c>
    </row>
    <row r="20" spans="1:13" ht="12.75">
      <c r="A20" t="s">
        <v>101</v>
      </c>
      <c r="B20" t="s">
        <v>102</v>
      </c>
      <c r="C20" t="s">
        <v>211</v>
      </c>
      <c r="D20" s="5">
        <f>E20*0.00995</f>
        <v>5.671500000000001E-12</v>
      </c>
      <c r="E20" s="5">
        <v>5.7E-10</v>
      </c>
      <c r="F20" t="s">
        <v>110</v>
      </c>
      <c r="L20" t="s">
        <v>103</v>
      </c>
      <c r="M20" t="s">
        <v>139</v>
      </c>
    </row>
    <row r="21" spans="1:13" ht="12.75">
      <c r="A21" t="s">
        <v>101</v>
      </c>
      <c r="B21" t="s">
        <v>102</v>
      </c>
      <c r="C21" t="s">
        <v>211</v>
      </c>
      <c r="D21" s="5">
        <v>6.7E-12</v>
      </c>
      <c r="E21" s="5">
        <f aca="true" t="shared" si="0" ref="E21:E26">D21/0.00995</f>
        <v>6.733668341708542E-10</v>
      </c>
      <c r="F21" t="s">
        <v>104</v>
      </c>
      <c r="G21" s="3">
        <v>4.68E-10</v>
      </c>
      <c r="H21">
        <v>687</v>
      </c>
      <c r="I21">
        <f aca="true" t="shared" si="1" ref="I21:I27">H21*0.00995</f>
        <v>6.83565</v>
      </c>
      <c r="J21">
        <v>10</v>
      </c>
      <c r="K21">
        <v>43</v>
      </c>
      <c r="L21" t="s">
        <v>103</v>
      </c>
      <c r="M21" t="s">
        <v>108</v>
      </c>
    </row>
    <row r="22" spans="1:12" ht="12.75">
      <c r="A22" t="s">
        <v>101</v>
      </c>
      <c r="B22" t="s">
        <v>102</v>
      </c>
      <c r="C22" t="s">
        <v>211</v>
      </c>
      <c r="D22" s="5">
        <v>3.4E-12</v>
      </c>
      <c r="E22" s="5">
        <f t="shared" si="0"/>
        <v>3.417085427135678E-10</v>
      </c>
      <c r="F22" t="s">
        <v>105</v>
      </c>
      <c r="G22" s="3">
        <v>3.42E-10</v>
      </c>
      <c r="H22">
        <v>1000</v>
      </c>
      <c r="I22">
        <f t="shared" si="1"/>
        <v>9.950000000000001</v>
      </c>
      <c r="J22">
        <v>10</v>
      </c>
      <c r="K22">
        <v>30</v>
      </c>
      <c r="L22" t="s">
        <v>103</v>
      </c>
    </row>
    <row r="23" spans="1:13" ht="12.75">
      <c r="A23" t="s">
        <v>101</v>
      </c>
      <c r="B23" t="s">
        <v>102</v>
      </c>
      <c r="C23" t="s">
        <v>211</v>
      </c>
      <c r="D23" s="5">
        <v>1.9E-11</v>
      </c>
      <c r="E23" s="5">
        <f t="shared" si="0"/>
        <v>1.909547738693467E-09</v>
      </c>
      <c r="F23" t="s">
        <v>109</v>
      </c>
      <c r="G23" s="3">
        <v>2.33E-09</v>
      </c>
      <c r="H23">
        <v>1231</v>
      </c>
      <c r="I23">
        <f t="shared" si="1"/>
        <v>12.24845</v>
      </c>
      <c r="J23">
        <v>10</v>
      </c>
      <c r="K23">
        <v>36</v>
      </c>
      <c r="L23" t="s">
        <v>103</v>
      </c>
      <c r="M23" t="s">
        <v>140</v>
      </c>
    </row>
    <row r="24" spans="1:13" ht="12.75">
      <c r="A24" t="s">
        <v>101</v>
      </c>
      <c r="B24" t="s">
        <v>102</v>
      </c>
      <c r="C24" t="s">
        <v>211</v>
      </c>
      <c r="D24" s="5">
        <v>6.9E-12</v>
      </c>
      <c r="E24" s="5">
        <f t="shared" si="0"/>
        <v>6.934673366834171E-10</v>
      </c>
      <c r="F24" t="s">
        <v>111</v>
      </c>
      <c r="G24" s="3">
        <v>7.51E-10</v>
      </c>
      <c r="H24">
        <v>1088</v>
      </c>
      <c r="I24">
        <f t="shared" si="1"/>
        <v>10.825600000000001</v>
      </c>
      <c r="J24">
        <v>10</v>
      </c>
      <c r="K24">
        <v>32</v>
      </c>
      <c r="L24" t="s">
        <v>103</v>
      </c>
      <c r="M24" t="s">
        <v>112</v>
      </c>
    </row>
    <row r="25" spans="1:12" ht="12.75">
      <c r="A25" t="s">
        <v>101</v>
      </c>
      <c r="B25" t="s">
        <v>102</v>
      </c>
      <c r="C25" t="s">
        <v>211</v>
      </c>
      <c r="D25" s="5">
        <v>2.3E-12</v>
      </c>
      <c r="E25" s="5">
        <f t="shared" si="0"/>
        <v>2.3115577889447234E-10</v>
      </c>
      <c r="F25" t="s">
        <v>113</v>
      </c>
      <c r="G25" s="3">
        <v>2.75E-10</v>
      </c>
      <c r="H25">
        <v>1200</v>
      </c>
      <c r="I25">
        <f t="shared" si="1"/>
        <v>11.940000000000001</v>
      </c>
      <c r="J25">
        <v>10</v>
      </c>
      <c r="K25">
        <v>32</v>
      </c>
      <c r="L25" t="s">
        <v>103</v>
      </c>
    </row>
    <row r="26" spans="1:12" ht="12.75">
      <c r="A26" t="s">
        <v>101</v>
      </c>
      <c r="B26" t="s">
        <v>102</v>
      </c>
      <c r="C26" t="s">
        <v>211</v>
      </c>
      <c r="D26" s="5">
        <v>2.05E-12</v>
      </c>
      <c r="E26" s="5">
        <f t="shared" si="0"/>
        <v>2.0603015075376883E-10</v>
      </c>
      <c r="F26" t="s">
        <v>114</v>
      </c>
      <c r="G26" s="3">
        <v>2.73E-10</v>
      </c>
      <c r="H26">
        <v>1330</v>
      </c>
      <c r="I26">
        <f t="shared" si="1"/>
        <v>13.233500000000001</v>
      </c>
      <c r="J26">
        <v>10</v>
      </c>
      <c r="K26" t="s">
        <v>154</v>
      </c>
      <c r="L26" t="s">
        <v>103</v>
      </c>
    </row>
    <row r="27" spans="1:9" ht="12.75">
      <c r="A27" t="s">
        <v>101</v>
      </c>
      <c r="B27" t="s">
        <v>102</v>
      </c>
      <c r="C27" t="s">
        <v>211</v>
      </c>
      <c r="F27" t="s">
        <v>153</v>
      </c>
      <c r="G27" s="3"/>
      <c r="H27">
        <v>1402</v>
      </c>
      <c r="I27">
        <f t="shared" si="1"/>
        <v>13.949900000000001</v>
      </c>
    </row>
    <row r="28" spans="1:13" ht="12.75">
      <c r="A28" t="s">
        <v>101</v>
      </c>
      <c r="B28" t="s">
        <v>102</v>
      </c>
      <c r="C28" t="s">
        <v>211</v>
      </c>
      <c r="F28" t="s">
        <v>151</v>
      </c>
      <c r="M28" t="s">
        <v>152</v>
      </c>
    </row>
    <row r="29" spans="1:8" ht="12.75">
      <c r="A29" t="s">
        <v>101</v>
      </c>
      <c r="B29" t="s">
        <v>102</v>
      </c>
      <c r="C29" t="s">
        <v>211</v>
      </c>
      <c r="F29" t="s">
        <v>155</v>
      </c>
      <c r="H29" t="s">
        <v>156</v>
      </c>
    </row>
    <row r="30" spans="1:13" ht="12.75">
      <c r="A30" t="s">
        <v>106</v>
      </c>
      <c r="B30" t="s">
        <v>107</v>
      </c>
      <c r="C30" t="s">
        <v>211</v>
      </c>
      <c r="F30" t="s">
        <v>145</v>
      </c>
      <c r="L30" t="s">
        <v>103</v>
      </c>
      <c r="M30" t="s">
        <v>146</v>
      </c>
    </row>
    <row r="31" spans="1:12" ht="12.75">
      <c r="A31" t="s">
        <v>119</v>
      </c>
      <c r="B31" t="s">
        <v>126</v>
      </c>
      <c r="C31" t="s">
        <v>211</v>
      </c>
      <c r="D31" s="5">
        <v>1.9E-12</v>
      </c>
      <c r="F31" t="s">
        <v>127</v>
      </c>
      <c r="G31" s="3">
        <v>5.7E-11</v>
      </c>
      <c r="H31">
        <v>585</v>
      </c>
      <c r="J31">
        <v>20</v>
      </c>
      <c r="K31">
        <v>29</v>
      </c>
      <c r="L31" t="s">
        <v>123</v>
      </c>
    </row>
    <row r="32" spans="1:13" ht="12.75">
      <c r="A32" t="s">
        <v>148</v>
      </c>
      <c r="B32" t="s">
        <v>149</v>
      </c>
      <c r="C32" t="s">
        <v>211</v>
      </c>
      <c r="F32" t="s">
        <v>147</v>
      </c>
      <c r="M32" t="s">
        <v>150</v>
      </c>
    </row>
    <row r="33" ht="12.75">
      <c r="A33" s="6" t="s">
        <v>117</v>
      </c>
    </row>
    <row r="34" spans="1:12" ht="12.75">
      <c r="A34" t="s">
        <v>124</v>
      </c>
      <c r="B34" t="s">
        <v>95</v>
      </c>
      <c r="C34" t="s">
        <v>96</v>
      </c>
      <c r="D34" s="5">
        <v>7.8E-11</v>
      </c>
      <c r="F34" t="s">
        <v>125</v>
      </c>
      <c r="G34" s="3">
        <v>2.74E-11</v>
      </c>
      <c r="H34">
        <v>7</v>
      </c>
      <c r="I34" t="s">
        <v>158</v>
      </c>
      <c r="J34">
        <v>20</v>
      </c>
      <c r="K34" t="s">
        <v>154</v>
      </c>
      <c r="L34" t="s">
        <v>123</v>
      </c>
    </row>
    <row r="35" spans="1:12" ht="12.75">
      <c r="A35" t="s">
        <v>124</v>
      </c>
      <c r="B35" t="s">
        <v>95</v>
      </c>
      <c r="C35" t="s">
        <v>96</v>
      </c>
      <c r="D35" s="5">
        <v>1.7E-11</v>
      </c>
      <c r="F35" t="s">
        <v>97</v>
      </c>
      <c r="G35" s="3">
        <v>2.7E-11</v>
      </c>
      <c r="H35">
        <v>16</v>
      </c>
      <c r="I35" t="s">
        <v>158</v>
      </c>
      <c r="J35">
        <v>10</v>
      </c>
      <c r="K35" t="s">
        <v>154</v>
      </c>
      <c r="L35" t="s">
        <v>90</v>
      </c>
    </row>
    <row r="36" spans="1:12" ht="12.75">
      <c r="A36" t="s">
        <v>208</v>
      </c>
      <c r="B36" t="s">
        <v>206</v>
      </c>
      <c r="C36" t="s">
        <v>207</v>
      </c>
      <c r="F36" t="s">
        <v>209</v>
      </c>
      <c r="L36" t="s">
        <v>210</v>
      </c>
    </row>
    <row r="40" ht="12.75">
      <c r="A40" s="6" t="s">
        <v>118</v>
      </c>
    </row>
    <row r="41" spans="1:13" ht="12.75">
      <c r="A41" t="s">
        <v>119</v>
      </c>
      <c r="B41" t="s">
        <v>120</v>
      </c>
      <c r="C41" t="s">
        <v>121</v>
      </c>
      <c r="D41" s="5">
        <v>2.6E-11</v>
      </c>
      <c r="F41" t="s">
        <v>122</v>
      </c>
      <c r="G41" s="3">
        <v>6.46E-11</v>
      </c>
      <c r="H41">
        <v>50</v>
      </c>
      <c r="I41" t="s">
        <v>159</v>
      </c>
      <c r="J41">
        <v>20</v>
      </c>
      <c r="K41" t="s">
        <v>154</v>
      </c>
      <c r="L41" t="s">
        <v>123</v>
      </c>
      <c r="M41" t="s">
        <v>160</v>
      </c>
    </row>
    <row r="42" spans="1:13" ht="12.75">
      <c r="A42" t="s">
        <v>119</v>
      </c>
      <c r="B42" t="s">
        <v>120</v>
      </c>
      <c r="C42" t="s">
        <v>121</v>
      </c>
      <c r="D42" s="5">
        <f>G42*J42/H42</f>
        <v>6.486486486486487E-11</v>
      </c>
      <c r="F42" t="s">
        <v>161</v>
      </c>
      <c r="G42" s="3">
        <v>6E-11</v>
      </c>
      <c r="H42">
        <v>37</v>
      </c>
      <c r="J42">
        <v>40</v>
      </c>
      <c r="K42" t="s">
        <v>154</v>
      </c>
      <c r="L42" t="s">
        <v>86</v>
      </c>
      <c r="M42" t="s">
        <v>162</v>
      </c>
    </row>
    <row r="43" spans="1:13" ht="12.75">
      <c r="A43" t="s">
        <v>164</v>
      </c>
      <c r="B43" t="s">
        <v>165</v>
      </c>
      <c r="C43" t="s">
        <v>166</v>
      </c>
      <c r="F43" t="s">
        <v>167</v>
      </c>
      <c r="M43" t="s">
        <v>168</v>
      </c>
    </row>
    <row r="45" ht="12.75">
      <c r="A45" s="6" t="s">
        <v>163</v>
      </c>
    </row>
    <row r="46" spans="1:13" ht="12.75">
      <c r="A46" t="s">
        <v>169</v>
      </c>
      <c r="B46" t="s">
        <v>170</v>
      </c>
      <c r="F46" t="s">
        <v>172</v>
      </c>
      <c r="M46" t="s">
        <v>171</v>
      </c>
    </row>
    <row r="47" spans="1:13" ht="12.75">
      <c r="A47" t="s">
        <v>169</v>
      </c>
      <c r="B47" t="s">
        <v>170</v>
      </c>
      <c r="D47" s="5">
        <f>G47*J47/H47</f>
        <v>3.62E-11</v>
      </c>
      <c r="F47" t="s">
        <v>173</v>
      </c>
      <c r="G47" s="3">
        <v>7.24E-11</v>
      </c>
      <c r="H47">
        <v>40</v>
      </c>
      <c r="I47" t="s">
        <v>159</v>
      </c>
      <c r="J47">
        <v>20</v>
      </c>
      <c r="K47">
        <v>27</v>
      </c>
      <c r="L47" t="s">
        <v>123</v>
      </c>
      <c r="M47" t="s">
        <v>174</v>
      </c>
    </row>
    <row r="48" spans="1:13" ht="12.75">
      <c r="A48" t="s">
        <v>154</v>
      </c>
      <c r="B48" t="s">
        <v>175</v>
      </c>
      <c r="D48" s="5">
        <f>G48*J48/H48</f>
        <v>1.064E-11</v>
      </c>
      <c r="F48" t="s">
        <v>176</v>
      </c>
      <c r="G48" s="3">
        <v>9.31E-12</v>
      </c>
      <c r="H48">
        <v>35</v>
      </c>
      <c r="I48" t="s">
        <v>159</v>
      </c>
      <c r="J48">
        <v>40</v>
      </c>
      <c r="K48" t="s">
        <v>154</v>
      </c>
      <c r="L48" t="s">
        <v>86</v>
      </c>
      <c r="M48" t="s">
        <v>177</v>
      </c>
    </row>
    <row r="50" ht="12.75">
      <c r="A50" s="6" t="s">
        <v>189</v>
      </c>
    </row>
    <row r="51" spans="1:13" ht="12.75">
      <c r="A51" t="s">
        <v>178</v>
      </c>
      <c r="B51" t="s">
        <v>179</v>
      </c>
      <c r="D51" s="5">
        <f>G51*J51/H51</f>
        <v>1.3705882352941178E-11</v>
      </c>
      <c r="F51" t="s">
        <v>180</v>
      </c>
      <c r="G51" s="3">
        <v>2.33E-11</v>
      </c>
      <c r="H51">
        <v>17</v>
      </c>
      <c r="I51" t="s">
        <v>158</v>
      </c>
      <c r="J51">
        <v>10</v>
      </c>
      <c r="K51">
        <v>30</v>
      </c>
      <c r="L51" t="s">
        <v>90</v>
      </c>
      <c r="M51" t="s">
        <v>181</v>
      </c>
    </row>
    <row r="52" spans="1:12" ht="12.75">
      <c r="A52" t="s">
        <v>182</v>
      </c>
      <c r="B52" t="s">
        <v>183</v>
      </c>
      <c r="D52" s="5">
        <f>G52*J52/H52</f>
        <v>1.2884615384615384E-11</v>
      </c>
      <c r="F52" t="s">
        <v>184</v>
      </c>
      <c r="G52" s="3">
        <v>3.35E-11</v>
      </c>
      <c r="H52">
        <v>26</v>
      </c>
      <c r="I52" t="s">
        <v>159</v>
      </c>
      <c r="J52">
        <v>10</v>
      </c>
      <c r="K52" t="s">
        <v>154</v>
      </c>
      <c r="L52" t="s">
        <v>90</v>
      </c>
    </row>
    <row r="53" spans="1:13" ht="12.75">
      <c r="A53" t="s">
        <v>185</v>
      </c>
      <c r="B53" t="s">
        <v>186</v>
      </c>
      <c r="D53" s="5">
        <f>G53*J53/H53</f>
        <v>5.913043478260869E-12</v>
      </c>
      <c r="F53" t="s">
        <v>187</v>
      </c>
      <c r="G53" s="3">
        <v>4.08E-11</v>
      </c>
      <c r="H53">
        <f>16+53</f>
        <v>69</v>
      </c>
      <c r="I53" t="s">
        <v>159</v>
      </c>
      <c r="J53">
        <v>10</v>
      </c>
      <c r="K53" t="s">
        <v>154</v>
      </c>
      <c r="L53" t="s">
        <v>90</v>
      </c>
      <c r="M53" t="s">
        <v>188</v>
      </c>
    </row>
    <row r="54" spans="1:13" ht="12.75">
      <c r="A54" t="s">
        <v>190</v>
      </c>
      <c r="B54" t="s">
        <v>191</v>
      </c>
      <c r="D54" s="5">
        <f>G54*15/H54</f>
        <v>1.5E-10</v>
      </c>
      <c r="F54" t="s">
        <v>192</v>
      </c>
      <c r="G54" s="3">
        <v>1.2E-10</v>
      </c>
      <c r="H54">
        <v>12</v>
      </c>
      <c r="I54" t="s">
        <v>159</v>
      </c>
      <c r="J54" t="s">
        <v>193</v>
      </c>
      <c r="K54" t="s">
        <v>154</v>
      </c>
      <c r="L54" t="s">
        <v>103</v>
      </c>
      <c r="M54" t="s">
        <v>194</v>
      </c>
    </row>
    <row r="55" spans="1:13" ht="12.75">
      <c r="A55" t="s">
        <v>182</v>
      </c>
      <c r="B55" t="s">
        <v>183</v>
      </c>
      <c r="D55" s="5">
        <f>G55*J55/H55</f>
        <v>1.36E-10</v>
      </c>
      <c r="F55" t="s">
        <v>195</v>
      </c>
      <c r="G55" s="3">
        <v>4.08E-11</v>
      </c>
      <c r="H55">
        <v>3</v>
      </c>
      <c r="J55">
        <v>10</v>
      </c>
      <c r="L55" t="s">
        <v>90</v>
      </c>
      <c r="M55" t="s">
        <v>196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9.8515625" style="0" customWidth="1"/>
    <col min="2" max="2" width="14.28125" style="0" customWidth="1"/>
    <col min="3" max="3" width="12.421875" style="25" bestFit="1" customWidth="1"/>
    <col min="4" max="5" width="9.140625" style="25" customWidth="1"/>
    <col min="6" max="6" width="12.140625" style="0" customWidth="1"/>
    <col min="7" max="7" width="30.140625" style="0" customWidth="1"/>
  </cols>
  <sheetData>
    <row r="1" ht="20.25">
      <c r="A1" s="24" t="s">
        <v>212</v>
      </c>
    </row>
    <row r="6" spans="3:6" ht="12.75">
      <c r="C6" s="25" t="s">
        <v>215</v>
      </c>
      <c r="D6" s="25" t="s">
        <v>217</v>
      </c>
      <c r="E6" s="25" t="s">
        <v>218</v>
      </c>
      <c r="F6" t="s">
        <v>219</v>
      </c>
    </row>
    <row r="7" spans="1:7" ht="12.75">
      <c r="A7" t="s">
        <v>213</v>
      </c>
      <c r="B7" t="s">
        <v>214</v>
      </c>
      <c r="C7" s="25" t="s">
        <v>216</v>
      </c>
      <c r="D7" s="25" t="s">
        <v>216</v>
      </c>
      <c r="E7" s="25" t="s">
        <v>47</v>
      </c>
      <c r="F7" t="s">
        <v>220</v>
      </c>
      <c r="G7" t="s">
        <v>223</v>
      </c>
    </row>
    <row r="8" spans="1:6" ht="12.75">
      <c r="A8" t="s">
        <v>221</v>
      </c>
      <c r="B8" t="s">
        <v>90</v>
      </c>
      <c r="C8" s="25">
        <f>23.5*0.0254</f>
        <v>0.5969</v>
      </c>
      <c r="D8" s="25">
        <f>36*0.0254</f>
        <v>0.9144</v>
      </c>
      <c r="E8" s="25">
        <f>PI()*C8^2*D8/4</f>
        <v>0.25587582535520875</v>
      </c>
      <c r="F8">
        <v>10</v>
      </c>
    </row>
    <row r="9" spans="1:7" ht="12.75">
      <c r="A9" t="s">
        <v>221</v>
      </c>
      <c r="B9" t="s">
        <v>222</v>
      </c>
      <c r="G9" s="3" t="s">
        <v>228</v>
      </c>
    </row>
    <row r="10" spans="1:6" ht="12.75">
      <c r="A10" t="s">
        <v>221</v>
      </c>
      <c r="B10" t="s">
        <v>123</v>
      </c>
      <c r="C10" s="25">
        <f>7.875*0.0254</f>
        <v>0.20002499999999998</v>
      </c>
      <c r="D10" s="25">
        <f>16*0.0254</f>
        <v>0.4064</v>
      </c>
      <c r="E10" s="25">
        <f>PI()*C10^2*D10/4</f>
        <v>0.012770624601816098</v>
      </c>
      <c r="F10">
        <v>20</v>
      </c>
    </row>
    <row r="11" spans="1:6" ht="12.75">
      <c r="A11" t="s">
        <v>221</v>
      </c>
      <c r="B11" t="s">
        <v>103</v>
      </c>
      <c r="C11" s="25">
        <f>23.5*0.0254</f>
        <v>0.5969</v>
      </c>
      <c r="D11" s="25">
        <f>36*0.0254</f>
        <v>0.9144</v>
      </c>
      <c r="E11" s="25">
        <f>PI()*C11^2*D11/4</f>
        <v>0.25587582535520875</v>
      </c>
      <c r="F11">
        <v>10</v>
      </c>
    </row>
    <row r="12" spans="1:6" ht="12.75">
      <c r="A12" t="s">
        <v>221</v>
      </c>
      <c r="B12" t="s">
        <v>86</v>
      </c>
      <c r="C12" s="25">
        <f>7.875*0.0254</f>
        <v>0.20002499999999998</v>
      </c>
      <c r="D12" s="25">
        <f>16*0.0254</f>
        <v>0.4064</v>
      </c>
      <c r="E12" s="25">
        <f>PI()*C12^2*D12/4</f>
        <v>0.012770624601816098</v>
      </c>
      <c r="F12">
        <v>40</v>
      </c>
    </row>
    <row r="13" spans="1:2" ht="12.75">
      <c r="A13" t="s">
        <v>221</v>
      </c>
      <c r="B13" t="s">
        <v>224</v>
      </c>
    </row>
    <row r="14" spans="1:2" ht="12.75">
      <c r="A14" t="s">
        <v>221</v>
      </c>
      <c r="B14" t="s">
        <v>225</v>
      </c>
    </row>
    <row r="15" spans="1:5" ht="12.75">
      <c r="A15" t="s">
        <v>226</v>
      </c>
      <c r="B15" t="s">
        <v>227</v>
      </c>
      <c r="C15" s="25">
        <f>7.875*0.0254</f>
        <v>0.20002499999999998</v>
      </c>
      <c r="D15" s="25">
        <f>15*0.0254</f>
        <v>0.381</v>
      </c>
      <c r="E15" s="25">
        <f>PI()*C15^2*D15/4</f>
        <v>0.011972460564202592</v>
      </c>
    </row>
    <row r="16" spans="1:7" ht="12.75">
      <c r="A16" t="s">
        <v>229</v>
      </c>
      <c r="B16" t="s">
        <v>232</v>
      </c>
      <c r="C16" s="25">
        <f>23.75*0.0254</f>
        <v>0.60325</v>
      </c>
      <c r="D16" s="25">
        <f>46*0.0254</f>
        <v>1.1683999999999999</v>
      </c>
      <c r="E16" s="25">
        <f>PI()*C16^2*D16/4</f>
        <v>0.3339458807913802</v>
      </c>
      <c r="G16" t="s">
        <v>233</v>
      </c>
    </row>
    <row r="17" spans="1:5" ht="12.75">
      <c r="A17" t="s">
        <v>230</v>
      </c>
      <c r="B17" t="s">
        <v>234</v>
      </c>
      <c r="C17" s="25">
        <f>23.75*0.0254</f>
        <v>0.60325</v>
      </c>
      <c r="D17" s="25">
        <f>46*0.0254</f>
        <v>1.1683999999999999</v>
      </c>
      <c r="E17" s="25">
        <f>PI()*C17^2*D17/4</f>
        <v>0.3339458807913802</v>
      </c>
    </row>
    <row r="18" spans="1:7" ht="12.75">
      <c r="A18" t="s">
        <v>231</v>
      </c>
      <c r="B18" t="s">
        <v>158</v>
      </c>
      <c r="C18" s="25" t="s">
        <v>154</v>
      </c>
      <c r="D18" s="25" t="s">
        <v>154</v>
      </c>
      <c r="E18" s="25">
        <v>0.25</v>
      </c>
      <c r="F18">
        <v>7.5</v>
      </c>
      <c r="G18" s="25" t="s">
        <v>235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coyne</cp:lastModifiedBy>
  <dcterms:created xsi:type="dcterms:W3CDTF">2003-12-19T18:13:31Z</dcterms:created>
  <dcterms:modified xsi:type="dcterms:W3CDTF">2017-04-14T00:02:40Z</dcterms:modified>
  <cp:category/>
  <cp:version/>
  <cp:contentType/>
  <cp:contentStatus/>
</cp:coreProperties>
</file>