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 windowWidth="13920" windowHeight="9396" tabRatio="758" activeTab="0"/>
  </bookViews>
  <sheets>
    <sheet name="Intro" sheetId="1" r:id="rId1"/>
    <sheet name="Library" sheetId="2" r:id="rId2"/>
    <sheet name="TNI" sheetId="3" r:id="rId3"/>
    <sheet name="circularizer small" sheetId="4" r:id="rId4"/>
    <sheet name="circularizer" sheetId="5" r:id="rId5"/>
    <sheet name="linear cavity" sheetId="6" r:id="rId6"/>
    <sheet name="ring cavity" sheetId="7" r:id="rId7"/>
  </sheets>
  <definedNames>
    <definedName name="_xlnm.Print_Area" localSheetId="4">'circularizer'!$A$1:$L$54</definedName>
    <definedName name="_xlnm.Print_Area" localSheetId="3">'circularizer small'!$A$1:$L$48</definedName>
    <definedName name="solver_adj" localSheetId="4" hidden="1">'circularizer'!$F$36:$F$38,'circularizer'!$H$36:$H$37</definedName>
    <definedName name="solver_adj" localSheetId="3" hidden="1">'circularizer small'!$F$32:$F$33,'circularizer small'!$H$32:$H$33</definedName>
    <definedName name="solver_adj" localSheetId="2" hidden="1">'TNI'!$E$48</definedName>
    <definedName name="solver_cvg" localSheetId="4" hidden="1">0.001</definedName>
    <definedName name="solver_cvg" localSheetId="3" hidden="1">0.001</definedName>
    <definedName name="solver_cvg" localSheetId="2" hidden="1">0.001</definedName>
    <definedName name="solver_drv" localSheetId="4" hidden="1">0</definedName>
    <definedName name="solver_drv" localSheetId="3" hidden="1">0</definedName>
    <definedName name="solver_drv" localSheetId="2" hidden="1">1</definedName>
    <definedName name="solver_est" localSheetId="4" hidden="1">1</definedName>
    <definedName name="solver_est" localSheetId="3" hidden="1">0</definedName>
    <definedName name="solver_est" localSheetId="2" hidden="1">1</definedName>
    <definedName name="solver_itr" localSheetId="4" hidden="1">1000</definedName>
    <definedName name="solver_itr" localSheetId="3" hidden="1">1000</definedName>
    <definedName name="solver_itr" localSheetId="2" hidden="1">100</definedName>
    <definedName name="solver_lhs1" localSheetId="4" hidden="1">'circularizer'!$E$10</definedName>
    <definedName name="solver_lhs1" localSheetId="3" hidden="1">'circularizer small'!$E$10</definedName>
    <definedName name="solver_lhs1" localSheetId="2" hidden="1">'TNI'!$I$20</definedName>
    <definedName name="solver_lhs10" localSheetId="4" hidden="1">'circularizer'!$F$24</definedName>
    <definedName name="solver_lhs10" localSheetId="3" hidden="1">'circularizer small'!$F$22</definedName>
    <definedName name="solver_lhs11" localSheetId="4" hidden="1">'circularizer'!$F$14</definedName>
    <definedName name="solver_lhs11" localSheetId="3" hidden="1">'circularizer small'!$F$14</definedName>
    <definedName name="solver_lhs12" localSheetId="4" hidden="1">'circularizer'!$F$12</definedName>
    <definedName name="solver_lhs12" localSheetId="3" hidden="1">'circularizer small'!$F$12</definedName>
    <definedName name="solver_lhs13" localSheetId="4" hidden="1">'circularizer'!$F$34</definedName>
    <definedName name="solver_lhs13" localSheetId="3" hidden="1">'circularizer small'!$F$30</definedName>
    <definedName name="solver_lhs14" localSheetId="4" hidden="1">'circularizer'!$E$14</definedName>
    <definedName name="solver_lhs14" localSheetId="3" hidden="1">'circularizer small'!$E$14</definedName>
    <definedName name="solver_lhs15" localSheetId="4" hidden="1">'circularizer'!$E$28</definedName>
    <definedName name="solver_lhs15" localSheetId="3" hidden="1">'circularizer small'!$E$26</definedName>
    <definedName name="solver_lhs2" localSheetId="4" hidden="1">'circularizer'!$E$24</definedName>
    <definedName name="solver_lhs2" localSheetId="3" hidden="1">'circularizer small'!$E$22</definedName>
    <definedName name="solver_lhs2" localSheetId="2" hidden="1">'TNI'!$D$10</definedName>
    <definedName name="solver_lhs3" localSheetId="4" hidden="1">'circularizer'!$F$10</definedName>
    <definedName name="solver_lhs3" localSheetId="3" hidden="1">'circularizer small'!$F$10</definedName>
    <definedName name="solver_lhs3" localSheetId="2" hidden="1">'TNI'!$D$10</definedName>
    <definedName name="solver_lhs4" localSheetId="4" hidden="1">'circularizer'!$E$28</definedName>
    <definedName name="solver_lhs4" localSheetId="3" hidden="1">'circularizer small'!$F$12</definedName>
    <definedName name="solver_lhs4" localSheetId="2" hidden="1">'TNI'!$D$18</definedName>
    <definedName name="solver_lhs5" localSheetId="4" hidden="1">'circularizer'!$E$12</definedName>
    <definedName name="solver_lhs5" localSheetId="3" hidden="1">'circularizer small'!$E$12</definedName>
    <definedName name="solver_lhs6" localSheetId="4" hidden="1">'circularizer'!$E$26</definedName>
    <definedName name="solver_lhs6" localSheetId="3" hidden="1">'circularizer small'!$E$24</definedName>
    <definedName name="solver_lhs7" localSheetId="4" hidden="1">'circularizer'!$E$14</definedName>
    <definedName name="solver_lhs7" localSheetId="3" hidden="1">'circularizer small'!$F$24</definedName>
    <definedName name="solver_lhs8" localSheetId="4" hidden="1">'circularizer'!$F$28</definedName>
    <definedName name="solver_lhs8" localSheetId="3" hidden="1">'circularizer small'!$F$22</definedName>
    <definedName name="solver_lhs9" localSheetId="4" hidden="1">'circularizer'!$F$26</definedName>
    <definedName name="solver_lhs9" localSheetId="3" hidden="1">'circularizer small'!$F$30</definedName>
    <definedName name="solver_lin" localSheetId="4" hidden="1">2</definedName>
    <definedName name="solver_lin" localSheetId="3" hidden="1">2</definedName>
    <definedName name="solver_lin" localSheetId="2" hidden="1">2</definedName>
    <definedName name="solver_neg" localSheetId="4" hidden="1">2</definedName>
    <definedName name="solver_neg" localSheetId="3" hidden="1">2</definedName>
    <definedName name="solver_neg" localSheetId="2" hidden="1">2</definedName>
    <definedName name="solver_num" localSheetId="4" hidden="1">13</definedName>
    <definedName name="solver_num" localSheetId="3" hidden="1">9</definedName>
    <definedName name="solver_num" localSheetId="2" hidden="1">0</definedName>
    <definedName name="solver_nwt" localSheetId="4" hidden="1">0</definedName>
    <definedName name="solver_nwt" localSheetId="3" hidden="1">0</definedName>
    <definedName name="solver_nwt" localSheetId="2" hidden="1">1</definedName>
    <definedName name="solver_opt" localSheetId="4" hidden="1">'circularizer'!$B$39</definedName>
    <definedName name="solver_opt" localSheetId="3" hidden="1">'circularizer small'!$B$34</definedName>
    <definedName name="solver_opt" localSheetId="2" hidden="1">'TNI'!$I$52</definedName>
    <definedName name="solver_pre" localSheetId="4" hidden="1">0.000001</definedName>
    <definedName name="solver_pre" localSheetId="3" hidden="1">0.000001</definedName>
    <definedName name="solver_pre" localSheetId="2" hidden="1">0.000001</definedName>
    <definedName name="solver_rel1" localSheetId="4" hidden="1">3</definedName>
    <definedName name="solver_rel1" localSheetId="3" hidden="1">3</definedName>
    <definedName name="solver_rel1" localSheetId="2" hidden="1">1</definedName>
    <definedName name="solver_rel10" localSheetId="4" hidden="1">1</definedName>
    <definedName name="solver_rel10" localSheetId="3" hidden="1">1</definedName>
    <definedName name="solver_rel11" localSheetId="4" hidden="1">1</definedName>
    <definedName name="solver_rel11" localSheetId="3" hidden="1">1</definedName>
    <definedName name="solver_rel12" localSheetId="4" hidden="1">1</definedName>
    <definedName name="solver_rel12" localSheetId="3" hidden="1">1</definedName>
    <definedName name="solver_rel13" localSheetId="4" hidden="1">3</definedName>
    <definedName name="solver_rel13" localSheetId="3" hidden="1">3</definedName>
    <definedName name="solver_rel14" localSheetId="4" hidden="1">3</definedName>
    <definedName name="solver_rel14" localSheetId="3" hidden="1">3</definedName>
    <definedName name="solver_rel15" localSheetId="4" hidden="1">3</definedName>
    <definedName name="solver_rel15" localSheetId="3" hidden="1">3</definedName>
    <definedName name="solver_rel2" localSheetId="4" hidden="1">3</definedName>
    <definedName name="solver_rel2" localSheetId="3" hidden="1">3</definedName>
    <definedName name="solver_rel2" localSheetId="2" hidden="1">3</definedName>
    <definedName name="solver_rel3" localSheetId="4" hidden="1">1</definedName>
    <definedName name="solver_rel3" localSheetId="3" hidden="1">1</definedName>
    <definedName name="solver_rel3" localSheetId="2" hidden="1">1</definedName>
    <definedName name="solver_rel4" localSheetId="4" hidden="1">3</definedName>
    <definedName name="solver_rel4" localSheetId="3" hidden="1">1</definedName>
    <definedName name="solver_rel4" localSheetId="2" hidden="1">1</definedName>
    <definedName name="solver_rel5" localSheetId="4" hidden="1">3</definedName>
    <definedName name="solver_rel5" localSheetId="3" hidden="1">3</definedName>
    <definedName name="solver_rel6" localSheetId="4" hidden="1">3</definedName>
    <definedName name="solver_rel6" localSheetId="3" hidden="1">3</definedName>
    <definedName name="solver_rel7" localSheetId="4" hidden="1">3</definedName>
    <definedName name="solver_rel7" localSheetId="3" hidden="1">1</definedName>
    <definedName name="solver_rel8" localSheetId="4" hidden="1">1</definedName>
    <definedName name="solver_rel8" localSheetId="3" hidden="1">1</definedName>
    <definedName name="solver_rel9" localSheetId="4" hidden="1">1</definedName>
    <definedName name="solver_rel9" localSheetId="3" hidden="1">3</definedName>
    <definedName name="solver_rhs1" localSheetId="4" hidden="1">0.1</definedName>
    <definedName name="solver_rhs1" localSheetId="3" hidden="1">0.1</definedName>
    <definedName name="solver_rhs1" localSheetId="2" hidden="1">90</definedName>
    <definedName name="solver_rhs10" localSheetId="4" hidden="1">'circularizer'!$D$24</definedName>
    <definedName name="solver_rhs10" localSheetId="3" hidden="1">'circularizer small'!$D$22</definedName>
    <definedName name="solver_rhs11" localSheetId="4" hidden="1">'circularizer'!$D$14</definedName>
    <definedName name="solver_rhs11" localSheetId="3" hidden="1">'circularizer small'!$D$14</definedName>
    <definedName name="solver_rhs12" localSheetId="4" hidden="1">'circularizer'!$D$12</definedName>
    <definedName name="solver_rhs12" localSheetId="3" hidden="1">'circularizer small'!$D$12</definedName>
    <definedName name="solver_rhs13" localSheetId="4" hidden="1">1.1</definedName>
    <definedName name="solver_rhs13" localSheetId="3" hidden="1">1.1</definedName>
    <definedName name="solver_rhs14" localSheetId="4" hidden="1">0.1</definedName>
    <definedName name="solver_rhs14" localSheetId="3" hidden="1">0.1</definedName>
    <definedName name="solver_rhs15" localSheetId="4" hidden="1">0.1</definedName>
    <definedName name="solver_rhs15" localSheetId="3" hidden="1">0.1</definedName>
    <definedName name="solver_rhs2" localSheetId="4" hidden="1">0.1</definedName>
    <definedName name="solver_rhs2" localSheetId="3" hidden="1">0.1</definedName>
    <definedName name="solver_rhs2" localSheetId="2" hidden="1">'TNI'!$F$10</definedName>
    <definedName name="solver_rhs3" localSheetId="4" hidden="1">'circularizer'!$D$10</definedName>
    <definedName name="solver_rhs3" localSheetId="3" hidden="1">'circularizer small'!$D$10</definedName>
    <definedName name="solver_rhs3" localSheetId="2" hidden="1">1000</definedName>
    <definedName name="solver_rhs4" localSheetId="4" hidden="1">0.1</definedName>
    <definedName name="solver_rhs4" localSheetId="3" hidden="1">'circularizer small'!$D$12</definedName>
    <definedName name="solver_rhs4" localSheetId="2" hidden="1">1000</definedName>
    <definedName name="solver_rhs5" localSheetId="4" hidden="1">0.1</definedName>
    <definedName name="solver_rhs5" localSheetId="3" hidden="1">0.1</definedName>
    <definedName name="solver_rhs6" localSheetId="4" hidden="1">0.1</definedName>
    <definedName name="solver_rhs6" localSheetId="3" hidden="1">0.1</definedName>
    <definedName name="solver_rhs7" localSheetId="4" hidden="1">0.1</definedName>
    <definedName name="solver_rhs7" localSheetId="3" hidden="1">'circularizer small'!$D$24</definedName>
    <definedName name="solver_rhs8" localSheetId="4" hidden="1">'circularizer'!$D$28</definedName>
    <definedName name="solver_rhs8" localSheetId="3" hidden="1">'circularizer small'!$D$22</definedName>
    <definedName name="solver_rhs9" localSheetId="4" hidden="1">'circularizer'!$D$26</definedName>
    <definedName name="solver_rhs9" localSheetId="3" hidden="1">0.5</definedName>
    <definedName name="solver_scl" localSheetId="4" hidden="1">1</definedName>
    <definedName name="solver_scl" localSheetId="3" hidden="1">1</definedName>
    <definedName name="solver_scl" localSheetId="2" hidden="1">2</definedName>
    <definedName name="solver_sho" localSheetId="4" hidden="1">2</definedName>
    <definedName name="solver_sho" localSheetId="3" hidden="1">2</definedName>
    <definedName name="solver_sho" localSheetId="2" hidden="1">2</definedName>
    <definedName name="solver_tim" localSheetId="4" hidden="1">100</definedName>
    <definedName name="solver_tim" localSheetId="3" hidden="1">100</definedName>
    <definedName name="solver_tim" localSheetId="2" hidden="1">100</definedName>
    <definedName name="solver_tol" localSheetId="4" hidden="1">0.01</definedName>
    <definedName name="solver_tol" localSheetId="3" hidden="1">0.01</definedName>
    <definedName name="solver_tol" localSheetId="2" hidden="1">0.05</definedName>
    <definedName name="solver_typ" localSheetId="4" hidden="1">2</definedName>
    <definedName name="solver_typ" localSheetId="3" hidden="1">2</definedName>
    <definedName name="solver_typ" localSheetId="2" hidden="1">3</definedName>
    <definedName name="solver_val" localSheetId="4" hidden="1">1</definedName>
    <definedName name="solver_val" localSheetId="3" hidden="1">1</definedName>
    <definedName name="solver_val" localSheetId="2" hidden="1">118</definedName>
    <definedName name="TABLE" localSheetId="0">'Intro'!$A$2:$B$2</definedName>
  </definedNames>
  <calcPr fullCalcOnLoad="1"/>
</workbook>
</file>

<file path=xl/sharedStrings.xml><?xml version="1.0" encoding="utf-8"?>
<sst xmlns="http://schemas.openxmlformats.org/spreadsheetml/2006/main" count="1193" uniqueCount="89">
  <si>
    <t>Mode-matching calculator. All units in mm.</t>
  </si>
  <si>
    <t>Wavelength:</t>
  </si>
  <si>
    <t>distance</t>
  </si>
  <si>
    <t>mm</t>
  </si>
  <si>
    <t>FP cavity</t>
  </si>
  <si>
    <t>thin lens</t>
  </si>
  <si>
    <t>focal length</t>
  </si>
  <si>
    <t>lens pos</t>
  </si>
  <si>
    <t>f0</t>
  </si>
  <si>
    <t>mirror</t>
  </si>
  <si>
    <t>focal lengh</t>
  </si>
  <si>
    <t>lens dist</t>
  </si>
  <si>
    <t>waist dist</t>
  </si>
  <si>
    <t>waist pos</t>
  </si>
  <si>
    <t>inches w</t>
  </si>
  <si>
    <t>inches l</t>
  </si>
  <si>
    <t>path length</t>
  </si>
  <si>
    <t>Laser source</t>
  </si>
  <si>
    <t>ring cavity, big</t>
  </si>
  <si>
    <t>ring cavity, small</t>
  </si>
  <si>
    <t>Mode-matching calculator. All units in mm, unless otherwise marked.</t>
  </si>
  <si>
    <t>waist radius</t>
  </si>
  <si>
    <t>waist (in)</t>
  </si>
  <si>
    <t>lens (in)</t>
  </si>
  <si>
    <t>thin lens (alt)</t>
  </si>
  <si>
    <t>spacer</t>
  </si>
  <si>
    <t xml:space="preserve"> </t>
  </si>
  <si>
    <t>spot size</t>
  </si>
  <si>
    <t>mirror radius</t>
  </si>
  <si>
    <t>mode match</t>
  </si>
  <si>
    <t>propagator</t>
  </si>
  <si>
    <t>length</t>
  </si>
  <si>
    <t>mode match (alt)</t>
  </si>
  <si>
    <t>inch w</t>
  </si>
  <si>
    <t>inch l</t>
  </si>
  <si>
    <t>CC/PL cavity</t>
  </si>
  <si>
    <t>inch delta</t>
  </si>
  <si>
    <t>Targets</t>
  </si>
  <si>
    <t>1st lens</t>
  </si>
  <si>
    <t>2nd lens</t>
  </si>
  <si>
    <t>waist size</t>
  </si>
  <si>
    <t>Error</t>
  </si>
  <si>
    <t>Average</t>
  </si>
  <si>
    <t>match distance</t>
  </si>
  <si>
    <t>Ellipticity</t>
  </si>
  <si>
    <t>X1</t>
  </si>
  <si>
    <t>X3</t>
  </si>
  <si>
    <t>X2</t>
  </si>
  <si>
    <t>Y1</t>
  </si>
  <si>
    <t>Y2</t>
  </si>
  <si>
    <t>Y3</t>
  </si>
  <si>
    <t>x</t>
  </si>
  <si>
    <t>@</t>
  </si>
  <si>
    <t>y</t>
  </si>
  <si>
    <t>f/f0</t>
  </si>
  <si>
    <t>Mode matching calculator, published 1 Mar 2002 by Shanti Rao, rao_s@ligo</t>
  </si>
  <si>
    <t>Instructions:</t>
  </si>
  <si>
    <t>Create a new worksheet, and set the cell D2 to the laser wavelength, in millimeters.</t>
  </si>
  <si>
    <t>Starting with the 'laser source' calculator, copy optical elements from the 'library' worksheet, two rows at a time.</t>
  </si>
  <si>
    <t>The available optical elements are:</t>
  </si>
  <si>
    <t>CC/CC Cavity</t>
  </si>
  <si>
    <t>CC/CC cavity</t>
  </si>
  <si>
    <t>Ring cavity</t>
  </si>
  <si>
    <t>ring cavity</t>
  </si>
  <si>
    <t>Only change the boxes that are white. Colored backgrounds represent calculations.</t>
  </si>
  <si>
    <t>Waist radius, position</t>
  </si>
  <si>
    <t>Length, radius of curvature</t>
  </si>
  <si>
    <t>Assumes a symmetric cavity, with the beam waist at the center. Lens position reflects the location of the first mirror. If this is in front of the last optic, the first column will say "Error".</t>
  </si>
  <si>
    <t>CC/PL Cavity</t>
  </si>
  <si>
    <t>Assumes the input mirror is CC, and the ouput is PL. The waist will be at the surface of the output mirror. Lens position reflects the location of the first mirror. If this is in front of the last optic, the first column will say "Error".</t>
  </si>
  <si>
    <t>Radius of curvature, waist radius</t>
  </si>
  <si>
    <t>Assumes a symmetric, triangular ring cavity. The curved mirror, at the far vertex, images the waist onto itself. The round-trip path length is calculated. A ring cavity assumes that the two planar mirrors are very close together, and so the lens and waist positions are not changed.</t>
  </si>
  <si>
    <t>focal length, radius of next waist</t>
  </si>
  <si>
    <t>Finds the real solution that images the last waist onto a new waist, of specified size. The lens and waist location are calculated.</t>
  </si>
  <si>
    <t>focal length, distance from last optic</t>
  </si>
  <si>
    <t xml:space="preserve">Finds the real solution for a new waist, where the lens is at a specific position, and the waist size and position are calculated. </t>
  </si>
  <si>
    <t>Finds the virtual solution that changes the size and position of the next waist. If the lens position is in front of the last optic, the first column will say "Error".</t>
  </si>
  <si>
    <t>Finds the virtual solution for a new waist, where the lens is at a specific position, and the waist size and position are calculated.  If the lens position is in front of the last optic, the first column will say "Error".</t>
  </si>
  <si>
    <t>Calculates the location of a lens that will image the last waist onto the next waist. A mode match element should usually precede a cavity element.</t>
  </si>
  <si>
    <t>radius of curvature, waist radius</t>
  </si>
  <si>
    <t>Assumes a concave mirror at normal incidence, such as for reflecting a beam back through an AOM.</t>
  </si>
  <si>
    <t>Acts as a placeholder in the spreadsheet.</t>
  </si>
  <si>
    <t>This should be the first element in your design. The waist radius is in mm. The position is an arbitrary offset that will be added to all subsequent elements. The PSL's beam scanner measures diameter, not radius.</t>
  </si>
  <si>
    <t>Free parameters</t>
  </si>
  <si>
    <t>index</t>
  </si>
  <si>
    <t>length, index of refraction</t>
  </si>
  <si>
    <t>Calculates the spot size after a length of travel. Use this to account for a region in which there can be no lenses (like a window) or a thick piece of high-index material (like a Pockel's Cell).</t>
  </si>
  <si>
    <t>LIGO-T020035-00-R</t>
  </si>
  <si>
    <t>http://www.its.caltech.edu/~shanti/tni/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</si>
</sst>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
    <numFmt numFmtId="166" formatCode="0.000000000000"/>
    <numFmt numFmtId="167" formatCode="0.00000000000"/>
    <numFmt numFmtId="168" formatCode="0.0000000000000"/>
  </numFmts>
  <fonts count="4">
    <font>
      <sz val="10"/>
      <name val="Arial"/>
      <family val="0"/>
    </font>
    <font>
      <sz val="10"/>
      <color indexed="9"/>
      <name val="Arial"/>
      <family val="2"/>
    </font>
    <font>
      <sz val="10"/>
      <name val="Times New Roman"/>
      <family val="1"/>
    </font>
    <font>
      <b/>
      <sz val="10"/>
      <name val="Arial"/>
      <family val="0"/>
    </font>
  </fonts>
  <fills count="8">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s>
  <borders count="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Border="1" applyAlignment="1">
      <alignment/>
    </xf>
    <xf numFmtId="0" fontId="1" fillId="2" borderId="0" xfId="0" applyFont="1" applyFill="1" applyBorder="1" applyAlignment="1">
      <alignment/>
    </xf>
    <xf numFmtId="0" fontId="0" fillId="3" borderId="0" xfId="0" applyFill="1" applyBorder="1" applyAlignment="1">
      <alignment/>
    </xf>
    <xf numFmtId="0" fontId="1" fillId="0" borderId="0" xfId="0" applyFont="1" applyFill="1" applyBorder="1" applyAlignment="1">
      <alignment/>
    </xf>
    <xf numFmtId="0" fontId="0" fillId="0" borderId="0" xfId="0" applyFill="1" applyBorder="1" applyAlignment="1">
      <alignment/>
    </xf>
    <xf numFmtId="2" fontId="0" fillId="3" borderId="0" xfId="0" applyNumberFormat="1" applyFill="1" applyBorder="1" applyAlignment="1">
      <alignment/>
    </xf>
    <xf numFmtId="0" fontId="0" fillId="4" borderId="0" xfId="0" applyFill="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horizontal="center" wrapText="1"/>
    </xf>
    <xf numFmtId="2" fontId="0" fillId="4" borderId="0" xfId="0" applyNumberFormat="1" applyFill="1" applyBorder="1" applyAlignment="1">
      <alignment/>
    </xf>
    <xf numFmtId="0" fontId="1" fillId="2" borderId="1" xfId="0" applyFont="1" applyFill="1" applyBorder="1" applyAlignment="1">
      <alignment/>
    </xf>
    <xf numFmtId="0" fontId="0" fillId="3" borderId="1" xfId="0" applyFill="1" applyBorder="1" applyAlignment="1">
      <alignment/>
    </xf>
    <xf numFmtId="0" fontId="0" fillId="4" borderId="1" xfId="0" applyFill="1" applyBorder="1" applyAlignment="1">
      <alignment/>
    </xf>
    <xf numFmtId="2" fontId="0" fillId="3" borderId="1" xfId="0" applyNumberFormat="1" applyFill="1" applyBorder="1" applyAlignment="1">
      <alignment/>
    </xf>
    <xf numFmtId="0" fontId="0" fillId="0" borderId="0" xfId="0" applyFill="1" applyAlignment="1">
      <alignment/>
    </xf>
    <xf numFmtId="0" fontId="0" fillId="0" borderId="0" xfId="0" applyFont="1" applyFill="1" applyBorder="1" applyAlignment="1">
      <alignment/>
    </xf>
    <xf numFmtId="0" fontId="1" fillId="2" borderId="0" xfId="0" applyFont="1" applyFill="1" applyAlignment="1">
      <alignment/>
    </xf>
    <xf numFmtId="0" fontId="1" fillId="2" borderId="0" xfId="0" applyFont="1" applyFill="1" applyBorder="1" applyAlignment="1">
      <alignment horizontal="left"/>
    </xf>
    <xf numFmtId="2" fontId="0" fillId="0" borderId="0" xfId="0" applyNumberFormat="1" applyFill="1" applyBorder="1" applyAlignment="1">
      <alignment/>
    </xf>
    <xf numFmtId="164" fontId="1" fillId="2" borderId="0" xfId="0" applyNumberFormat="1" applyFont="1" applyFill="1" applyBorder="1" applyAlignment="1">
      <alignment/>
    </xf>
    <xf numFmtId="164" fontId="0" fillId="3" borderId="0" xfId="0" applyNumberFormat="1" applyFill="1" applyBorder="1" applyAlignment="1">
      <alignment/>
    </xf>
    <xf numFmtId="164" fontId="0" fillId="0" borderId="0" xfId="0" applyNumberFormat="1" applyBorder="1" applyAlignment="1">
      <alignment/>
    </xf>
    <xf numFmtId="164" fontId="0" fillId="0" borderId="0" xfId="0" applyNumberFormat="1" applyAlignment="1">
      <alignment/>
    </xf>
    <xf numFmtId="164" fontId="0" fillId="4" borderId="0" xfId="0" applyNumberFormat="1" applyFill="1" applyBorder="1" applyAlignment="1">
      <alignment/>
    </xf>
    <xf numFmtId="164" fontId="0" fillId="0" borderId="0" xfId="0" applyNumberFormat="1" applyFill="1" applyBorder="1" applyAlignment="1">
      <alignment/>
    </xf>
    <xf numFmtId="2" fontId="0" fillId="0" borderId="0" xfId="0" applyNumberFormat="1" applyBorder="1" applyAlignment="1">
      <alignment/>
    </xf>
    <xf numFmtId="2" fontId="1" fillId="2" borderId="0" xfId="0" applyNumberFormat="1" applyFont="1" applyFill="1" applyBorder="1" applyAlignment="1">
      <alignment/>
    </xf>
    <xf numFmtId="2" fontId="0" fillId="0" borderId="0" xfId="0" applyNumberFormat="1" applyAlignment="1">
      <alignment/>
    </xf>
    <xf numFmtId="164" fontId="0" fillId="0" borderId="0" xfId="0" applyNumberFormat="1" applyFont="1" applyFill="1" applyBorder="1" applyAlignment="1">
      <alignment/>
    </xf>
    <xf numFmtId="2" fontId="1" fillId="2" borderId="0" xfId="0" applyNumberFormat="1" applyFont="1" applyFill="1" applyAlignment="1">
      <alignment/>
    </xf>
    <xf numFmtId="2" fontId="0" fillId="3" borderId="0" xfId="0" applyNumberFormat="1" applyFill="1" applyAlignment="1">
      <alignment/>
    </xf>
    <xf numFmtId="0" fontId="0" fillId="0" borderId="0" xfId="0" applyBorder="1" applyAlignment="1">
      <alignment horizontal="center" vertical="top" wrapText="1"/>
    </xf>
    <xf numFmtId="0" fontId="0" fillId="0" borderId="0" xfId="0" applyBorder="1" applyAlignment="1">
      <alignment horizontal="left" vertical="top"/>
    </xf>
    <xf numFmtId="2" fontId="0" fillId="0" borderId="0" xfId="0" applyNumberFormat="1" applyFill="1" applyAlignment="1">
      <alignment/>
    </xf>
    <xf numFmtId="14" fontId="0" fillId="0" borderId="0" xfId="0" applyNumberFormat="1" applyBorder="1" applyAlignment="1">
      <alignment/>
    </xf>
    <xf numFmtId="0" fontId="0" fillId="0" borderId="0" xfId="0" applyNumberFormat="1" applyAlignment="1">
      <alignment/>
    </xf>
    <xf numFmtId="0" fontId="0" fillId="0" borderId="0" xfId="0" applyNumberFormat="1" applyBorder="1" applyAlignment="1">
      <alignment/>
    </xf>
    <xf numFmtId="0" fontId="1" fillId="2" borderId="0" xfId="0" applyNumberFormat="1" applyFont="1" applyFill="1" applyBorder="1" applyAlignment="1">
      <alignment/>
    </xf>
    <xf numFmtId="0" fontId="0" fillId="4" borderId="0" xfId="0" applyNumberFormat="1" applyFill="1" applyBorder="1" applyAlignment="1">
      <alignment/>
    </xf>
    <xf numFmtId="0" fontId="0" fillId="3" borderId="0" xfId="0" applyNumberFormat="1" applyFont="1" applyFill="1" applyBorder="1" applyAlignment="1">
      <alignment/>
    </xf>
    <xf numFmtId="0" fontId="0" fillId="0" borderId="0" xfId="0" applyNumberFormat="1" applyFill="1" applyBorder="1" applyAlignment="1">
      <alignment/>
    </xf>
    <xf numFmtId="164" fontId="0" fillId="3" borderId="0" xfId="0" applyNumberFormat="1" applyFont="1" applyFill="1" applyBorder="1" applyAlignment="1">
      <alignment/>
    </xf>
    <xf numFmtId="0" fontId="0" fillId="5" borderId="0" xfId="0" applyFill="1" applyBorder="1" applyAlignment="1">
      <alignment/>
    </xf>
    <xf numFmtId="0" fontId="0" fillId="6" borderId="1" xfId="0" applyFill="1" applyBorder="1" applyAlignment="1">
      <alignment/>
    </xf>
    <xf numFmtId="0" fontId="0" fillId="6" borderId="0" xfId="0" applyFill="1" applyAlignment="1">
      <alignment/>
    </xf>
    <xf numFmtId="0" fontId="0" fillId="6" borderId="0" xfId="0" applyFill="1" applyBorder="1" applyAlignment="1">
      <alignment/>
    </xf>
    <xf numFmtId="2" fontId="0" fillId="6" borderId="0" xfId="0" applyNumberFormat="1" applyFill="1" applyBorder="1" applyAlignment="1">
      <alignment/>
    </xf>
    <xf numFmtId="2" fontId="0" fillId="6" borderId="0" xfId="0" applyNumberFormat="1" applyFill="1" applyAlignment="1">
      <alignment/>
    </xf>
    <xf numFmtId="164" fontId="0" fillId="6" borderId="0" xfId="0" applyNumberFormat="1" applyFill="1" applyBorder="1" applyAlignment="1">
      <alignment/>
    </xf>
    <xf numFmtId="2" fontId="0" fillId="6" borderId="1" xfId="0" applyNumberFormat="1" applyFill="1" applyBorder="1" applyAlignment="1">
      <alignment/>
    </xf>
    <xf numFmtId="0" fontId="0" fillId="7" borderId="1" xfId="0" applyFill="1" applyBorder="1" applyAlignment="1">
      <alignment/>
    </xf>
    <xf numFmtId="0" fontId="0" fillId="7" borderId="0" xfId="0" applyFill="1" applyBorder="1" applyAlignment="1">
      <alignment/>
    </xf>
    <xf numFmtId="2" fontId="0" fillId="7" borderId="0" xfId="0" applyNumberFormat="1" applyFill="1" applyBorder="1" applyAlignment="1">
      <alignment/>
    </xf>
    <xf numFmtId="2" fontId="0" fillId="7" borderId="1" xfId="0" applyNumberFormat="1" applyFill="1" applyBorder="1" applyAlignment="1">
      <alignment/>
    </xf>
    <xf numFmtId="0" fontId="0" fillId="7" borderId="0" xfId="0" applyFill="1" applyAlignment="1">
      <alignment/>
    </xf>
    <xf numFmtId="2" fontId="0" fillId="7" borderId="0" xfId="0" applyNumberFormat="1" applyFill="1" applyAlignment="1">
      <alignment/>
    </xf>
    <xf numFmtId="164" fontId="0" fillId="7" borderId="0" xfId="0" applyNumberFormat="1" applyFill="1" applyBorder="1" applyAlignment="1">
      <alignment/>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0" fillId="0" borderId="1" xfId="0" applyFill="1" applyBorder="1" applyAlignment="1">
      <alignment/>
    </xf>
    <xf numFmtId="0" fontId="3" fillId="0" borderId="0"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23</xdr:row>
      <xdr:rowOff>152400</xdr:rowOff>
    </xdr:from>
    <xdr:to>
      <xdr:col>2</xdr:col>
      <xdr:colOff>962025</xdr:colOff>
      <xdr:row>25</xdr:row>
      <xdr:rowOff>114300</xdr:rowOff>
    </xdr:to>
    <xdr:sp>
      <xdr:nvSpPr>
        <xdr:cNvPr id="1" name="Oval 19"/>
        <xdr:cNvSpPr>
          <a:spLocks/>
        </xdr:cNvSpPr>
      </xdr:nvSpPr>
      <xdr:spPr>
        <a:xfrm>
          <a:off x="6886575" y="6591300"/>
          <a:ext cx="76200" cy="476250"/>
        </a:xfrm>
        <a:prstGeom prst="ellipse">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23</xdr:row>
      <xdr:rowOff>266700</xdr:rowOff>
    </xdr:from>
    <xdr:to>
      <xdr:col>2</xdr:col>
      <xdr:colOff>876300</xdr:colOff>
      <xdr:row>24</xdr:row>
      <xdr:rowOff>19050</xdr:rowOff>
    </xdr:to>
    <xdr:sp>
      <xdr:nvSpPr>
        <xdr:cNvPr id="2" name="Line 20"/>
        <xdr:cNvSpPr>
          <a:spLocks/>
        </xdr:cNvSpPr>
      </xdr:nvSpPr>
      <xdr:spPr>
        <a:xfrm flipV="1">
          <a:off x="6381750" y="6705600"/>
          <a:ext cx="485775" cy="104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24</xdr:row>
      <xdr:rowOff>28575</xdr:rowOff>
    </xdr:from>
    <xdr:to>
      <xdr:col>2</xdr:col>
      <xdr:colOff>885825</xdr:colOff>
      <xdr:row>24</xdr:row>
      <xdr:rowOff>123825</xdr:rowOff>
    </xdr:to>
    <xdr:sp>
      <xdr:nvSpPr>
        <xdr:cNvPr id="3" name="Line 21"/>
        <xdr:cNvSpPr>
          <a:spLocks/>
        </xdr:cNvSpPr>
      </xdr:nvSpPr>
      <xdr:spPr>
        <a:xfrm>
          <a:off x="6391275" y="6819900"/>
          <a:ext cx="485775" cy="95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24</xdr:row>
      <xdr:rowOff>47625</xdr:rowOff>
    </xdr:from>
    <xdr:to>
      <xdr:col>2</xdr:col>
      <xdr:colOff>1800225</xdr:colOff>
      <xdr:row>24</xdr:row>
      <xdr:rowOff>142875</xdr:rowOff>
    </xdr:to>
    <xdr:sp>
      <xdr:nvSpPr>
        <xdr:cNvPr id="4" name="Line 22"/>
        <xdr:cNvSpPr>
          <a:spLocks/>
        </xdr:cNvSpPr>
      </xdr:nvSpPr>
      <xdr:spPr>
        <a:xfrm flipV="1">
          <a:off x="6981825" y="6838950"/>
          <a:ext cx="819150" cy="104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962025</xdr:colOff>
      <xdr:row>23</xdr:row>
      <xdr:rowOff>247650</xdr:rowOff>
    </xdr:from>
    <xdr:to>
      <xdr:col>2</xdr:col>
      <xdr:colOff>1819275</xdr:colOff>
      <xdr:row>24</xdr:row>
      <xdr:rowOff>47625</xdr:rowOff>
    </xdr:to>
    <xdr:sp>
      <xdr:nvSpPr>
        <xdr:cNvPr id="5" name="Line 23"/>
        <xdr:cNvSpPr>
          <a:spLocks/>
        </xdr:cNvSpPr>
      </xdr:nvSpPr>
      <xdr:spPr>
        <a:xfrm>
          <a:off x="6962775" y="6686550"/>
          <a:ext cx="857250" cy="1524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29</xdr:row>
      <xdr:rowOff>266700</xdr:rowOff>
    </xdr:from>
    <xdr:to>
      <xdr:col>2</xdr:col>
      <xdr:colOff>2152650</xdr:colOff>
      <xdr:row>30</xdr:row>
      <xdr:rowOff>38100</xdr:rowOff>
    </xdr:to>
    <xdr:sp>
      <xdr:nvSpPr>
        <xdr:cNvPr id="6" name="Line 24"/>
        <xdr:cNvSpPr>
          <a:spLocks/>
        </xdr:cNvSpPr>
      </xdr:nvSpPr>
      <xdr:spPr>
        <a:xfrm>
          <a:off x="6162675" y="8096250"/>
          <a:ext cx="1981200" cy="15240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30</xdr:row>
      <xdr:rowOff>47625</xdr:rowOff>
    </xdr:from>
    <xdr:to>
      <xdr:col>2</xdr:col>
      <xdr:colOff>2152650</xdr:colOff>
      <xdr:row>31</xdr:row>
      <xdr:rowOff>104775</xdr:rowOff>
    </xdr:to>
    <xdr:sp>
      <xdr:nvSpPr>
        <xdr:cNvPr id="7" name="Line 25"/>
        <xdr:cNvSpPr>
          <a:spLocks/>
        </xdr:cNvSpPr>
      </xdr:nvSpPr>
      <xdr:spPr>
        <a:xfrm flipV="1">
          <a:off x="6153150" y="8258175"/>
          <a:ext cx="2000250" cy="21907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29</xdr:row>
      <xdr:rowOff>209550</xdr:rowOff>
    </xdr:from>
    <xdr:to>
      <xdr:col>2</xdr:col>
      <xdr:colOff>714375</xdr:colOff>
      <xdr:row>32</xdr:row>
      <xdr:rowOff>19050</xdr:rowOff>
    </xdr:to>
    <xdr:sp>
      <xdr:nvSpPr>
        <xdr:cNvPr id="8" name="Oval 26"/>
        <xdr:cNvSpPr>
          <a:spLocks/>
        </xdr:cNvSpPr>
      </xdr:nvSpPr>
      <xdr:spPr>
        <a:xfrm>
          <a:off x="6629400" y="8039100"/>
          <a:ext cx="85725" cy="514350"/>
        </a:xfrm>
        <a:prstGeom prst="ellipse">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29</xdr:row>
      <xdr:rowOff>304800</xdr:rowOff>
    </xdr:from>
    <xdr:to>
      <xdr:col>2</xdr:col>
      <xdr:colOff>1447800</xdr:colOff>
      <xdr:row>30</xdr:row>
      <xdr:rowOff>47625</xdr:rowOff>
    </xdr:to>
    <xdr:sp>
      <xdr:nvSpPr>
        <xdr:cNvPr id="9" name="Line 27"/>
        <xdr:cNvSpPr>
          <a:spLocks/>
        </xdr:cNvSpPr>
      </xdr:nvSpPr>
      <xdr:spPr>
        <a:xfrm>
          <a:off x="6715125" y="8134350"/>
          <a:ext cx="742950" cy="123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30</xdr:row>
      <xdr:rowOff>47625</xdr:rowOff>
    </xdr:from>
    <xdr:to>
      <xdr:col>2</xdr:col>
      <xdr:colOff>1457325</xdr:colOff>
      <xdr:row>31</xdr:row>
      <xdr:rowOff>47625</xdr:rowOff>
    </xdr:to>
    <xdr:sp>
      <xdr:nvSpPr>
        <xdr:cNvPr id="10" name="Line 28"/>
        <xdr:cNvSpPr>
          <a:spLocks/>
        </xdr:cNvSpPr>
      </xdr:nvSpPr>
      <xdr:spPr>
        <a:xfrm flipV="1">
          <a:off x="6715125" y="8258175"/>
          <a:ext cx="742950" cy="1619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31</xdr:row>
      <xdr:rowOff>47625</xdr:rowOff>
    </xdr:from>
    <xdr:to>
      <xdr:col>2</xdr:col>
      <xdr:colOff>628650</xdr:colOff>
      <xdr:row>31</xdr:row>
      <xdr:rowOff>114300</xdr:rowOff>
    </xdr:to>
    <xdr:sp>
      <xdr:nvSpPr>
        <xdr:cNvPr id="11" name="Line 29"/>
        <xdr:cNvSpPr>
          <a:spLocks/>
        </xdr:cNvSpPr>
      </xdr:nvSpPr>
      <xdr:spPr>
        <a:xfrm flipH="1">
          <a:off x="6153150" y="8420100"/>
          <a:ext cx="476250"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29</xdr:row>
      <xdr:rowOff>266700</xdr:rowOff>
    </xdr:from>
    <xdr:to>
      <xdr:col>2</xdr:col>
      <xdr:colOff>638175</xdr:colOff>
      <xdr:row>29</xdr:row>
      <xdr:rowOff>295275</xdr:rowOff>
    </xdr:to>
    <xdr:sp>
      <xdr:nvSpPr>
        <xdr:cNvPr id="12" name="Line 30"/>
        <xdr:cNvSpPr>
          <a:spLocks/>
        </xdr:cNvSpPr>
      </xdr:nvSpPr>
      <xdr:spPr>
        <a:xfrm>
          <a:off x="6162675" y="8096250"/>
          <a:ext cx="476250" cy="285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1314450</xdr:colOff>
      <xdr:row>20</xdr:row>
      <xdr:rowOff>238125</xdr:rowOff>
    </xdr:from>
    <xdr:to>
      <xdr:col>2</xdr:col>
      <xdr:colOff>1514475</xdr:colOff>
      <xdr:row>20</xdr:row>
      <xdr:rowOff>838200</xdr:rowOff>
    </xdr:to>
    <xdr:sp>
      <xdr:nvSpPr>
        <xdr:cNvPr id="13" name="AutoShape 55"/>
        <xdr:cNvSpPr>
          <a:spLocks/>
        </xdr:cNvSpPr>
      </xdr:nvSpPr>
      <xdr:spPr>
        <a:xfrm rot="5400000">
          <a:off x="7315200" y="5276850"/>
          <a:ext cx="190500" cy="600075"/>
        </a:xfrm>
        <a:prstGeom prst="blockArc">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20</xdr:row>
      <xdr:rowOff>19050</xdr:rowOff>
    </xdr:from>
    <xdr:to>
      <xdr:col>2</xdr:col>
      <xdr:colOff>561975</xdr:colOff>
      <xdr:row>20</xdr:row>
      <xdr:rowOff>990600</xdr:rowOff>
    </xdr:to>
    <xdr:sp>
      <xdr:nvSpPr>
        <xdr:cNvPr id="14" name="Line 58"/>
        <xdr:cNvSpPr>
          <a:spLocks/>
        </xdr:cNvSpPr>
      </xdr:nvSpPr>
      <xdr:spPr>
        <a:xfrm flipV="1">
          <a:off x="6429375" y="5057775"/>
          <a:ext cx="133350" cy="9715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20</xdr:row>
      <xdr:rowOff>19050</xdr:rowOff>
    </xdr:from>
    <xdr:to>
      <xdr:col>2</xdr:col>
      <xdr:colOff>590550</xdr:colOff>
      <xdr:row>20</xdr:row>
      <xdr:rowOff>1038225</xdr:rowOff>
    </xdr:to>
    <xdr:sp>
      <xdr:nvSpPr>
        <xdr:cNvPr id="15" name="Line 59"/>
        <xdr:cNvSpPr>
          <a:spLocks/>
        </xdr:cNvSpPr>
      </xdr:nvSpPr>
      <xdr:spPr>
        <a:xfrm>
          <a:off x="6381750" y="5057775"/>
          <a:ext cx="219075" cy="1019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20</xdr:row>
      <xdr:rowOff>342900</xdr:rowOff>
    </xdr:from>
    <xdr:to>
      <xdr:col>2</xdr:col>
      <xdr:colOff>1447800</xdr:colOff>
      <xdr:row>20</xdr:row>
      <xdr:rowOff>438150</xdr:rowOff>
    </xdr:to>
    <xdr:sp>
      <xdr:nvSpPr>
        <xdr:cNvPr id="16" name="Line 60"/>
        <xdr:cNvSpPr>
          <a:spLocks/>
        </xdr:cNvSpPr>
      </xdr:nvSpPr>
      <xdr:spPr>
        <a:xfrm>
          <a:off x="6515100" y="5381625"/>
          <a:ext cx="942975" cy="104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20</xdr:row>
      <xdr:rowOff>400050</xdr:rowOff>
    </xdr:from>
    <xdr:to>
      <xdr:col>2</xdr:col>
      <xdr:colOff>1438275</xdr:colOff>
      <xdr:row>20</xdr:row>
      <xdr:rowOff>619125</xdr:rowOff>
    </xdr:to>
    <xdr:sp>
      <xdr:nvSpPr>
        <xdr:cNvPr id="17" name="Line 61"/>
        <xdr:cNvSpPr>
          <a:spLocks/>
        </xdr:cNvSpPr>
      </xdr:nvSpPr>
      <xdr:spPr>
        <a:xfrm>
          <a:off x="6467475" y="5438775"/>
          <a:ext cx="971550" cy="2190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20</xdr:row>
      <xdr:rowOff>438150</xdr:rowOff>
    </xdr:from>
    <xdr:to>
      <xdr:col>2</xdr:col>
      <xdr:colOff>1438275</xdr:colOff>
      <xdr:row>20</xdr:row>
      <xdr:rowOff>657225</xdr:rowOff>
    </xdr:to>
    <xdr:sp>
      <xdr:nvSpPr>
        <xdr:cNvPr id="18" name="Line 62"/>
        <xdr:cNvSpPr>
          <a:spLocks/>
        </xdr:cNvSpPr>
      </xdr:nvSpPr>
      <xdr:spPr>
        <a:xfrm flipH="1">
          <a:off x="6486525" y="5476875"/>
          <a:ext cx="942975" cy="2190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20</xdr:row>
      <xdr:rowOff>609600</xdr:rowOff>
    </xdr:from>
    <xdr:to>
      <xdr:col>2</xdr:col>
      <xdr:colOff>1447800</xdr:colOff>
      <xdr:row>20</xdr:row>
      <xdr:rowOff>704850</xdr:rowOff>
    </xdr:to>
    <xdr:sp>
      <xdr:nvSpPr>
        <xdr:cNvPr id="19" name="Line 63"/>
        <xdr:cNvSpPr>
          <a:spLocks/>
        </xdr:cNvSpPr>
      </xdr:nvSpPr>
      <xdr:spPr>
        <a:xfrm flipV="1">
          <a:off x="6524625" y="5648325"/>
          <a:ext cx="923925" cy="95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20</xdr:row>
      <xdr:rowOff>723900</xdr:rowOff>
    </xdr:from>
    <xdr:to>
      <xdr:col>2</xdr:col>
      <xdr:colOff>714375</xdr:colOff>
      <xdr:row>20</xdr:row>
      <xdr:rowOff>809625</xdr:rowOff>
    </xdr:to>
    <xdr:sp>
      <xdr:nvSpPr>
        <xdr:cNvPr id="20" name="Rectangle 57"/>
        <xdr:cNvSpPr>
          <a:spLocks/>
        </xdr:cNvSpPr>
      </xdr:nvSpPr>
      <xdr:spPr>
        <a:xfrm rot="2509209">
          <a:off x="6343650" y="5762625"/>
          <a:ext cx="381000" cy="85725"/>
        </a:xfrm>
        <a:prstGeom prst="rect">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20</xdr:row>
      <xdr:rowOff>247650</xdr:rowOff>
    </xdr:from>
    <xdr:to>
      <xdr:col>2</xdr:col>
      <xdr:colOff>695325</xdr:colOff>
      <xdr:row>20</xdr:row>
      <xdr:rowOff>333375</xdr:rowOff>
    </xdr:to>
    <xdr:sp>
      <xdr:nvSpPr>
        <xdr:cNvPr id="21" name="Rectangle 56"/>
        <xdr:cNvSpPr>
          <a:spLocks/>
        </xdr:cNvSpPr>
      </xdr:nvSpPr>
      <xdr:spPr>
        <a:xfrm rot="19247980">
          <a:off x="6324600" y="5286375"/>
          <a:ext cx="371475" cy="85725"/>
        </a:xfrm>
        <a:prstGeom prst="rect">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14</xdr:row>
      <xdr:rowOff>247650</xdr:rowOff>
    </xdr:from>
    <xdr:to>
      <xdr:col>2</xdr:col>
      <xdr:colOff>1876425</xdr:colOff>
      <xdr:row>14</xdr:row>
      <xdr:rowOff>685800</xdr:rowOff>
    </xdr:to>
    <xdr:sp>
      <xdr:nvSpPr>
        <xdr:cNvPr id="22" name="Line 64"/>
        <xdr:cNvSpPr>
          <a:spLocks/>
        </xdr:cNvSpPr>
      </xdr:nvSpPr>
      <xdr:spPr>
        <a:xfrm>
          <a:off x="6276975" y="2809875"/>
          <a:ext cx="1600200" cy="438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14</xdr:row>
      <xdr:rowOff>276225</xdr:rowOff>
    </xdr:from>
    <xdr:to>
      <xdr:col>2</xdr:col>
      <xdr:colOff>1762125</xdr:colOff>
      <xdr:row>14</xdr:row>
      <xdr:rowOff>666750</xdr:rowOff>
    </xdr:to>
    <xdr:sp>
      <xdr:nvSpPr>
        <xdr:cNvPr id="23" name="Line 65"/>
        <xdr:cNvSpPr>
          <a:spLocks/>
        </xdr:cNvSpPr>
      </xdr:nvSpPr>
      <xdr:spPr>
        <a:xfrm flipV="1">
          <a:off x="6267450" y="2838450"/>
          <a:ext cx="1495425" cy="390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17</xdr:row>
      <xdr:rowOff>238125</xdr:rowOff>
    </xdr:from>
    <xdr:to>
      <xdr:col>2</xdr:col>
      <xdr:colOff>1962150</xdr:colOff>
      <xdr:row>17</xdr:row>
      <xdr:rowOff>676275</xdr:rowOff>
    </xdr:to>
    <xdr:sp>
      <xdr:nvSpPr>
        <xdr:cNvPr id="24" name="Line 68"/>
        <xdr:cNvSpPr>
          <a:spLocks/>
        </xdr:cNvSpPr>
      </xdr:nvSpPr>
      <xdr:spPr>
        <a:xfrm>
          <a:off x="6362700" y="4086225"/>
          <a:ext cx="1600200" cy="438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17</xdr:row>
      <xdr:rowOff>276225</xdr:rowOff>
    </xdr:from>
    <xdr:to>
      <xdr:col>2</xdr:col>
      <xdr:colOff>1847850</xdr:colOff>
      <xdr:row>17</xdr:row>
      <xdr:rowOff>666750</xdr:rowOff>
    </xdr:to>
    <xdr:sp>
      <xdr:nvSpPr>
        <xdr:cNvPr id="25" name="Line 69"/>
        <xdr:cNvSpPr>
          <a:spLocks/>
        </xdr:cNvSpPr>
      </xdr:nvSpPr>
      <xdr:spPr>
        <a:xfrm flipV="1">
          <a:off x="6353175" y="4124325"/>
          <a:ext cx="1495425" cy="390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38</xdr:row>
      <xdr:rowOff>381000</xdr:rowOff>
    </xdr:from>
    <xdr:to>
      <xdr:col>2</xdr:col>
      <xdr:colOff>1524000</xdr:colOff>
      <xdr:row>38</xdr:row>
      <xdr:rowOff>504825</xdr:rowOff>
    </xdr:to>
    <xdr:sp>
      <xdr:nvSpPr>
        <xdr:cNvPr id="26" name="Line 72"/>
        <xdr:cNvSpPr>
          <a:spLocks/>
        </xdr:cNvSpPr>
      </xdr:nvSpPr>
      <xdr:spPr>
        <a:xfrm>
          <a:off x="6562725" y="10772775"/>
          <a:ext cx="962025" cy="123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38</xdr:row>
      <xdr:rowOff>285750</xdr:rowOff>
    </xdr:from>
    <xdr:to>
      <xdr:col>2</xdr:col>
      <xdr:colOff>1514475</xdr:colOff>
      <xdr:row>38</xdr:row>
      <xdr:rowOff>466725</xdr:rowOff>
    </xdr:to>
    <xdr:sp>
      <xdr:nvSpPr>
        <xdr:cNvPr id="27" name="Line 73"/>
        <xdr:cNvSpPr>
          <a:spLocks/>
        </xdr:cNvSpPr>
      </xdr:nvSpPr>
      <xdr:spPr>
        <a:xfrm flipV="1">
          <a:off x="6562725" y="10677525"/>
          <a:ext cx="942975" cy="1809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1381125</xdr:colOff>
      <xdr:row>38</xdr:row>
      <xdr:rowOff>76200</xdr:rowOff>
    </xdr:from>
    <xdr:to>
      <xdr:col>2</xdr:col>
      <xdr:colOff>1571625</xdr:colOff>
      <xdr:row>38</xdr:row>
      <xdr:rowOff>676275</xdr:rowOff>
    </xdr:to>
    <xdr:sp>
      <xdr:nvSpPr>
        <xdr:cNvPr id="28" name="AutoShape 75"/>
        <xdr:cNvSpPr>
          <a:spLocks/>
        </xdr:cNvSpPr>
      </xdr:nvSpPr>
      <xdr:spPr>
        <a:xfrm rot="5400000">
          <a:off x="7381875" y="10467975"/>
          <a:ext cx="190500" cy="600075"/>
        </a:xfrm>
        <a:prstGeom prst="blockArc">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35</xdr:row>
      <xdr:rowOff>171450</xdr:rowOff>
    </xdr:from>
    <xdr:to>
      <xdr:col>2</xdr:col>
      <xdr:colOff>2085975</xdr:colOff>
      <xdr:row>35</xdr:row>
      <xdr:rowOff>609600</xdr:rowOff>
    </xdr:to>
    <xdr:sp>
      <xdr:nvSpPr>
        <xdr:cNvPr id="29" name="Line 76"/>
        <xdr:cNvSpPr>
          <a:spLocks/>
        </xdr:cNvSpPr>
      </xdr:nvSpPr>
      <xdr:spPr>
        <a:xfrm>
          <a:off x="6486525" y="9420225"/>
          <a:ext cx="1600200" cy="438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35</xdr:row>
      <xdr:rowOff>209550</xdr:rowOff>
    </xdr:from>
    <xdr:to>
      <xdr:col>2</xdr:col>
      <xdr:colOff>1971675</xdr:colOff>
      <xdr:row>35</xdr:row>
      <xdr:rowOff>590550</xdr:rowOff>
    </xdr:to>
    <xdr:sp>
      <xdr:nvSpPr>
        <xdr:cNvPr id="30" name="Line 77"/>
        <xdr:cNvSpPr>
          <a:spLocks/>
        </xdr:cNvSpPr>
      </xdr:nvSpPr>
      <xdr:spPr>
        <a:xfrm flipV="1">
          <a:off x="6486525" y="9458325"/>
          <a:ext cx="1495425" cy="390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35</xdr:row>
      <xdr:rowOff>161925</xdr:rowOff>
    </xdr:from>
    <xdr:to>
      <xdr:col>2</xdr:col>
      <xdr:colOff>428625</xdr:colOff>
      <xdr:row>35</xdr:row>
      <xdr:rowOff>238125</xdr:rowOff>
    </xdr:to>
    <xdr:sp>
      <xdr:nvSpPr>
        <xdr:cNvPr id="31" name="Line 81"/>
        <xdr:cNvSpPr>
          <a:spLocks/>
        </xdr:cNvSpPr>
      </xdr:nvSpPr>
      <xdr:spPr>
        <a:xfrm flipH="1">
          <a:off x="6076950" y="9410700"/>
          <a:ext cx="352425" cy="762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35</xdr:row>
      <xdr:rowOff>533400</xdr:rowOff>
    </xdr:from>
    <xdr:to>
      <xdr:col>2</xdr:col>
      <xdr:colOff>419100</xdr:colOff>
      <xdr:row>35</xdr:row>
      <xdr:rowOff>590550</xdr:rowOff>
    </xdr:to>
    <xdr:sp>
      <xdr:nvSpPr>
        <xdr:cNvPr id="32" name="Line 82"/>
        <xdr:cNvSpPr>
          <a:spLocks/>
        </xdr:cNvSpPr>
      </xdr:nvSpPr>
      <xdr:spPr>
        <a:xfrm flipH="1" flipV="1">
          <a:off x="6067425" y="9782175"/>
          <a:ext cx="352425"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44</xdr:row>
      <xdr:rowOff>352425</xdr:rowOff>
    </xdr:from>
    <xdr:to>
      <xdr:col>2</xdr:col>
      <xdr:colOff>600075</xdr:colOff>
      <xdr:row>44</xdr:row>
      <xdr:rowOff>371475</xdr:rowOff>
    </xdr:to>
    <xdr:sp>
      <xdr:nvSpPr>
        <xdr:cNvPr id="33" name="Line 84"/>
        <xdr:cNvSpPr>
          <a:spLocks/>
        </xdr:cNvSpPr>
      </xdr:nvSpPr>
      <xdr:spPr>
        <a:xfrm>
          <a:off x="6191250" y="12401550"/>
          <a:ext cx="409575" cy="190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44</xdr:row>
      <xdr:rowOff>609600</xdr:rowOff>
    </xdr:from>
    <xdr:to>
      <xdr:col>2</xdr:col>
      <xdr:colOff>609600</xdr:colOff>
      <xdr:row>44</xdr:row>
      <xdr:rowOff>628650</xdr:rowOff>
    </xdr:to>
    <xdr:sp>
      <xdr:nvSpPr>
        <xdr:cNvPr id="34" name="Line 85"/>
        <xdr:cNvSpPr>
          <a:spLocks/>
        </xdr:cNvSpPr>
      </xdr:nvSpPr>
      <xdr:spPr>
        <a:xfrm flipV="1">
          <a:off x="6191250" y="12658725"/>
          <a:ext cx="419100" cy="190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44</xdr:row>
      <xdr:rowOff>542925</xdr:rowOff>
    </xdr:from>
    <xdr:to>
      <xdr:col>2</xdr:col>
      <xdr:colOff>1485900</xdr:colOff>
      <xdr:row>44</xdr:row>
      <xdr:rowOff>600075</xdr:rowOff>
    </xdr:to>
    <xdr:sp>
      <xdr:nvSpPr>
        <xdr:cNvPr id="35" name="Line 86"/>
        <xdr:cNvSpPr>
          <a:spLocks/>
        </xdr:cNvSpPr>
      </xdr:nvSpPr>
      <xdr:spPr>
        <a:xfrm flipV="1">
          <a:off x="6600825" y="12592050"/>
          <a:ext cx="885825" cy="476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44</xdr:row>
      <xdr:rowOff>371475</xdr:rowOff>
    </xdr:from>
    <xdr:to>
      <xdr:col>2</xdr:col>
      <xdr:colOff>1495425</xdr:colOff>
      <xdr:row>44</xdr:row>
      <xdr:rowOff>428625</xdr:rowOff>
    </xdr:to>
    <xdr:sp>
      <xdr:nvSpPr>
        <xdr:cNvPr id="36" name="Line 87"/>
        <xdr:cNvSpPr>
          <a:spLocks/>
        </xdr:cNvSpPr>
      </xdr:nvSpPr>
      <xdr:spPr>
        <a:xfrm>
          <a:off x="6610350" y="12420600"/>
          <a:ext cx="885825" cy="57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1476375</xdr:colOff>
      <xdr:row>44</xdr:row>
      <xdr:rowOff>428625</xdr:rowOff>
    </xdr:from>
    <xdr:to>
      <xdr:col>2</xdr:col>
      <xdr:colOff>1971675</xdr:colOff>
      <xdr:row>44</xdr:row>
      <xdr:rowOff>447675</xdr:rowOff>
    </xdr:to>
    <xdr:sp>
      <xdr:nvSpPr>
        <xdr:cNvPr id="37" name="Line 88"/>
        <xdr:cNvSpPr>
          <a:spLocks/>
        </xdr:cNvSpPr>
      </xdr:nvSpPr>
      <xdr:spPr>
        <a:xfrm>
          <a:off x="7477125" y="12477750"/>
          <a:ext cx="495300" cy="190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1476375</xdr:colOff>
      <xdr:row>44</xdr:row>
      <xdr:rowOff>533400</xdr:rowOff>
    </xdr:from>
    <xdr:to>
      <xdr:col>2</xdr:col>
      <xdr:colOff>1971675</xdr:colOff>
      <xdr:row>44</xdr:row>
      <xdr:rowOff>552450</xdr:rowOff>
    </xdr:to>
    <xdr:sp>
      <xdr:nvSpPr>
        <xdr:cNvPr id="38" name="Line 89"/>
        <xdr:cNvSpPr>
          <a:spLocks/>
        </xdr:cNvSpPr>
      </xdr:nvSpPr>
      <xdr:spPr>
        <a:xfrm flipV="1">
          <a:off x="7477125" y="12582525"/>
          <a:ext cx="504825" cy="190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17</xdr:row>
      <xdr:rowOff>161925</xdr:rowOff>
    </xdr:from>
    <xdr:to>
      <xdr:col>2</xdr:col>
      <xdr:colOff>1019175</xdr:colOff>
      <xdr:row>17</xdr:row>
      <xdr:rowOff>762000</xdr:rowOff>
    </xdr:to>
    <xdr:sp>
      <xdr:nvSpPr>
        <xdr:cNvPr id="39" name="AutoShape 70"/>
        <xdr:cNvSpPr>
          <a:spLocks/>
        </xdr:cNvSpPr>
      </xdr:nvSpPr>
      <xdr:spPr>
        <a:xfrm rot="16200000">
          <a:off x="6829425" y="4010025"/>
          <a:ext cx="190500" cy="600075"/>
        </a:xfrm>
        <a:prstGeom prst="blockArc">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14</xdr:row>
      <xdr:rowOff>161925</xdr:rowOff>
    </xdr:from>
    <xdr:to>
      <xdr:col>2</xdr:col>
      <xdr:colOff>933450</xdr:colOff>
      <xdr:row>14</xdr:row>
      <xdr:rowOff>762000</xdr:rowOff>
    </xdr:to>
    <xdr:sp>
      <xdr:nvSpPr>
        <xdr:cNvPr id="40" name="AutoShape 66"/>
        <xdr:cNvSpPr>
          <a:spLocks/>
        </xdr:cNvSpPr>
      </xdr:nvSpPr>
      <xdr:spPr>
        <a:xfrm rot="16200000">
          <a:off x="6743700" y="2724150"/>
          <a:ext cx="190500" cy="600075"/>
        </a:xfrm>
        <a:prstGeom prst="blockArc">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1123950</xdr:colOff>
      <xdr:row>14</xdr:row>
      <xdr:rowOff>161925</xdr:rowOff>
    </xdr:from>
    <xdr:to>
      <xdr:col>2</xdr:col>
      <xdr:colOff>1314450</xdr:colOff>
      <xdr:row>14</xdr:row>
      <xdr:rowOff>762000</xdr:rowOff>
    </xdr:to>
    <xdr:sp>
      <xdr:nvSpPr>
        <xdr:cNvPr id="41" name="AutoShape 67"/>
        <xdr:cNvSpPr>
          <a:spLocks/>
        </xdr:cNvSpPr>
      </xdr:nvSpPr>
      <xdr:spPr>
        <a:xfrm rot="5400000">
          <a:off x="7124700" y="2724150"/>
          <a:ext cx="190500" cy="600075"/>
        </a:xfrm>
        <a:prstGeom prst="blockArc">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952500</xdr:colOff>
      <xdr:row>35</xdr:row>
      <xdr:rowOff>95250</xdr:rowOff>
    </xdr:from>
    <xdr:to>
      <xdr:col>2</xdr:col>
      <xdr:colOff>1143000</xdr:colOff>
      <xdr:row>35</xdr:row>
      <xdr:rowOff>685800</xdr:rowOff>
    </xdr:to>
    <xdr:sp>
      <xdr:nvSpPr>
        <xdr:cNvPr id="42" name="AutoShape 78"/>
        <xdr:cNvSpPr>
          <a:spLocks/>
        </xdr:cNvSpPr>
      </xdr:nvSpPr>
      <xdr:spPr>
        <a:xfrm rot="16200000">
          <a:off x="6953250" y="9344025"/>
          <a:ext cx="190500" cy="600075"/>
        </a:xfrm>
        <a:prstGeom prst="blockArc">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1343025</xdr:colOff>
      <xdr:row>35</xdr:row>
      <xdr:rowOff>95250</xdr:rowOff>
    </xdr:from>
    <xdr:to>
      <xdr:col>2</xdr:col>
      <xdr:colOff>1533525</xdr:colOff>
      <xdr:row>35</xdr:row>
      <xdr:rowOff>685800</xdr:rowOff>
    </xdr:to>
    <xdr:sp>
      <xdr:nvSpPr>
        <xdr:cNvPr id="43" name="AutoShape 79"/>
        <xdr:cNvSpPr>
          <a:spLocks/>
        </xdr:cNvSpPr>
      </xdr:nvSpPr>
      <xdr:spPr>
        <a:xfrm rot="5400000">
          <a:off x="7343775" y="9344025"/>
          <a:ext cx="190500" cy="600075"/>
        </a:xfrm>
        <a:prstGeom prst="blockArc">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35</xdr:row>
      <xdr:rowOff>123825</xdr:rowOff>
    </xdr:from>
    <xdr:to>
      <xdr:col>2</xdr:col>
      <xdr:colOff>495300</xdr:colOff>
      <xdr:row>35</xdr:row>
      <xdr:rowOff>647700</xdr:rowOff>
    </xdr:to>
    <xdr:sp>
      <xdr:nvSpPr>
        <xdr:cNvPr id="44" name="Oval 80"/>
        <xdr:cNvSpPr>
          <a:spLocks/>
        </xdr:cNvSpPr>
      </xdr:nvSpPr>
      <xdr:spPr>
        <a:xfrm>
          <a:off x="6419850" y="9372600"/>
          <a:ext cx="76200" cy="523875"/>
        </a:xfrm>
        <a:prstGeom prst="ellipse">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44</xdr:row>
      <xdr:rowOff>314325</xdr:rowOff>
    </xdr:from>
    <xdr:to>
      <xdr:col>2</xdr:col>
      <xdr:colOff>1476375</xdr:colOff>
      <xdr:row>44</xdr:row>
      <xdr:rowOff>657225</xdr:rowOff>
    </xdr:to>
    <xdr:sp>
      <xdr:nvSpPr>
        <xdr:cNvPr id="45" name="Rectangle 83"/>
        <xdr:cNvSpPr>
          <a:spLocks/>
        </xdr:cNvSpPr>
      </xdr:nvSpPr>
      <xdr:spPr>
        <a:xfrm>
          <a:off x="6610350" y="12363450"/>
          <a:ext cx="876300" cy="342900"/>
        </a:xfrm>
        <a:prstGeom prst="rect">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1123950</xdr:colOff>
      <xdr:row>17</xdr:row>
      <xdr:rowOff>190500</xdr:rowOff>
    </xdr:from>
    <xdr:to>
      <xdr:col>2</xdr:col>
      <xdr:colOff>1209675</xdr:colOff>
      <xdr:row>17</xdr:row>
      <xdr:rowOff>752475</xdr:rowOff>
    </xdr:to>
    <xdr:sp>
      <xdr:nvSpPr>
        <xdr:cNvPr id="46" name="Rectangle 71"/>
        <xdr:cNvSpPr>
          <a:spLocks/>
        </xdr:cNvSpPr>
      </xdr:nvSpPr>
      <xdr:spPr>
        <a:xfrm>
          <a:off x="7124700" y="4038600"/>
          <a:ext cx="76200" cy="561975"/>
        </a:xfrm>
        <a:prstGeom prst="rect">
          <a:avLst/>
        </a:prstGeom>
        <a:solidFill>
          <a:srgbClr val="C0C0C0">
            <a:alpha val="50000"/>
          </a:srgbClr>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5"/>
  <sheetViews>
    <sheetView tabSelected="1" workbookViewId="0" topLeftCell="A1">
      <selection activeCell="A2" sqref="A2"/>
    </sheetView>
  </sheetViews>
  <sheetFormatPr defaultColWidth="9.140625" defaultRowHeight="12.75"/>
  <cols>
    <col min="1" max="1" width="52.140625" style="59" customWidth="1"/>
    <col min="2" max="2" width="37.8515625" style="59" customWidth="1"/>
    <col min="3" max="3" width="33.421875" style="59" customWidth="1"/>
    <col min="4" max="16384" width="8.8515625" style="59" customWidth="1"/>
  </cols>
  <sheetData>
    <row r="1" spans="1:2" ht="26.25">
      <c r="A1" s="59" t="s">
        <v>55</v>
      </c>
      <c r="B1" s="63" t="s">
        <v>87</v>
      </c>
    </row>
    <row r="2" spans="1:2" ht="12.75" customHeight="1">
      <c r="A2" s="59" t="s">
        <v>88</v>
      </c>
      <c r="B2" s="1"/>
    </row>
    <row r="3" ht="12.75">
      <c r="A3" s="59" t="s">
        <v>56</v>
      </c>
    </row>
    <row r="5" spans="1:2" ht="15" customHeight="1">
      <c r="A5" s="64" t="s">
        <v>57</v>
      </c>
      <c r="B5" s="64"/>
    </row>
    <row r="6" spans="1:2" ht="15" customHeight="1">
      <c r="A6" s="64" t="s">
        <v>58</v>
      </c>
      <c r="B6" s="64"/>
    </row>
    <row r="7" spans="1:2" ht="15" customHeight="1">
      <c r="A7" s="64" t="s">
        <v>64</v>
      </c>
      <c r="B7" s="64"/>
    </row>
    <row r="8" ht="15" customHeight="1"/>
    <row r="9" spans="1:2" ht="12.75">
      <c r="A9" s="59" t="s">
        <v>59</v>
      </c>
      <c r="B9" s="59" t="s">
        <v>83</v>
      </c>
    </row>
    <row r="11" spans="1:2" ht="12.75">
      <c r="A11" s="59" t="s">
        <v>17</v>
      </c>
      <c r="B11" s="59" t="s">
        <v>65</v>
      </c>
    </row>
    <row r="12" spans="1:2" ht="12.75">
      <c r="A12" s="64" t="s">
        <v>82</v>
      </c>
      <c r="B12" s="64"/>
    </row>
    <row r="14" spans="1:2" ht="13.5" thickBot="1">
      <c r="A14" s="59" t="s">
        <v>60</v>
      </c>
      <c r="B14" s="59" t="s">
        <v>66</v>
      </c>
    </row>
    <row r="15" spans="1:3" ht="75" customHeight="1" thickBot="1">
      <c r="A15" s="64" t="s">
        <v>67</v>
      </c>
      <c r="B15" s="64"/>
      <c r="C15" s="60"/>
    </row>
    <row r="17" spans="1:3" ht="13.5" thickBot="1">
      <c r="A17" s="59" t="s">
        <v>68</v>
      </c>
      <c r="B17" s="59" t="s">
        <v>66</v>
      </c>
      <c r="C17" s="61"/>
    </row>
    <row r="18" spans="1:3" ht="67.5" customHeight="1" thickBot="1">
      <c r="A18" s="64" t="s">
        <v>69</v>
      </c>
      <c r="B18" s="64"/>
      <c r="C18" s="60"/>
    </row>
    <row r="19" ht="12.75">
      <c r="C19" s="61"/>
    </row>
    <row r="20" spans="1:2" ht="13.5" thickBot="1">
      <c r="A20" s="59" t="s">
        <v>62</v>
      </c>
      <c r="B20" s="59" t="s">
        <v>70</v>
      </c>
    </row>
    <row r="21" spans="1:3" ht="84" customHeight="1" thickBot="1">
      <c r="A21" s="64" t="s">
        <v>71</v>
      </c>
      <c r="B21" s="64"/>
      <c r="C21" s="60"/>
    </row>
    <row r="22" ht="13.5" thickBot="1"/>
    <row r="23" spans="1:3" ht="12.75">
      <c r="A23" s="59" t="s">
        <v>5</v>
      </c>
      <c r="B23" s="59" t="s">
        <v>72</v>
      </c>
      <c r="C23" s="65"/>
    </row>
    <row r="24" spans="1:3" ht="27.75" customHeight="1">
      <c r="A24" s="64" t="s">
        <v>73</v>
      </c>
      <c r="B24" s="64"/>
      <c r="C24" s="66"/>
    </row>
    <row r="25" ht="12.75">
      <c r="C25" s="66"/>
    </row>
    <row r="26" spans="1:3" ht="12.75">
      <c r="A26" s="59" t="s">
        <v>5</v>
      </c>
      <c r="B26" s="59" t="s">
        <v>74</v>
      </c>
      <c r="C26" s="66"/>
    </row>
    <row r="27" spans="1:3" ht="30" customHeight="1" thickBot="1">
      <c r="A27" s="64" t="s">
        <v>75</v>
      </c>
      <c r="B27" s="64"/>
      <c r="C27" s="67"/>
    </row>
    <row r="28" ht="13.5" thickBot="1"/>
    <row r="29" spans="1:3" ht="12.75">
      <c r="A29" s="59" t="s">
        <v>24</v>
      </c>
      <c r="B29" s="59" t="s">
        <v>72</v>
      </c>
      <c r="C29" s="65"/>
    </row>
    <row r="30" spans="1:3" ht="30" customHeight="1">
      <c r="A30" s="64" t="s">
        <v>76</v>
      </c>
      <c r="B30" s="64"/>
      <c r="C30" s="66"/>
    </row>
    <row r="31" ht="12.75">
      <c r="C31" s="66"/>
    </row>
    <row r="32" spans="1:3" ht="12.75">
      <c r="A32" s="59" t="s">
        <v>24</v>
      </c>
      <c r="B32" s="59" t="s">
        <v>72</v>
      </c>
      <c r="C32" s="66"/>
    </row>
    <row r="33" spans="1:3" ht="30" customHeight="1" thickBot="1">
      <c r="A33" s="64" t="s">
        <v>77</v>
      </c>
      <c r="B33" s="64"/>
      <c r="C33" s="67"/>
    </row>
    <row r="35" spans="1:2" ht="13.5" thickBot="1">
      <c r="A35" s="59" t="s">
        <v>29</v>
      </c>
      <c r="B35" s="59" t="s">
        <v>6</v>
      </c>
    </row>
    <row r="36" spans="1:3" ht="63.75" customHeight="1" thickBot="1">
      <c r="A36" s="64" t="s">
        <v>78</v>
      </c>
      <c r="B36" s="64"/>
      <c r="C36" s="60"/>
    </row>
    <row r="38" spans="1:2" ht="13.5" thickBot="1">
      <c r="A38" s="59" t="s">
        <v>9</v>
      </c>
      <c r="B38" s="59" t="s">
        <v>79</v>
      </c>
    </row>
    <row r="39" spans="1:3" ht="66" customHeight="1" thickBot="1">
      <c r="A39" s="64" t="s">
        <v>80</v>
      </c>
      <c r="B39" s="64"/>
      <c r="C39" s="60"/>
    </row>
    <row r="41" ht="12.75">
      <c r="A41" s="59" t="s">
        <v>25</v>
      </c>
    </row>
    <row r="42" spans="1:2" ht="12.75">
      <c r="A42" s="64" t="s">
        <v>81</v>
      </c>
      <c r="B42" s="64"/>
    </row>
    <row r="44" spans="1:2" ht="13.5" thickBot="1">
      <c r="A44" s="59" t="s">
        <v>30</v>
      </c>
      <c r="B44" s="59" t="s">
        <v>85</v>
      </c>
    </row>
    <row r="45" spans="1:3" ht="75" customHeight="1" thickBot="1">
      <c r="A45" s="64" t="s">
        <v>86</v>
      </c>
      <c r="B45" s="64"/>
      <c r="C45" s="60"/>
    </row>
  </sheetData>
  <mergeCells count="17">
    <mergeCell ref="A39:B39"/>
    <mergeCell ref="A45:B45"/>
    <mergeCell ref="A42:B42"/>
    <mergeCell ref="A6:B6"/>
    <mergeCell ref="A7:B7"/>
    <mergeCell ref="A15:B15"/>
    <mergeCell ref="A18:B18"/>
    <mergeCell ref="A21:B21"/>
    <mergeCell ref="A36:B36"/>
    <mergeCell ref="A5:B5"/>
    <mergeCell ref="C29:C33"/>
    <mergeCell ref="C23:C27"/>
    <mergeCell ref="A24:B24"/>
    <mergeCell ref="A27:B27"/>
    <mergeCell ref="A30:B30"/>
    <mergeCell ref="A33:B33"/>
    <mergeCell ref="A12:B12"/>
  </mergeCells>
  <printOptions/>
  <pageMargins left="0.4" right="0.75" top="0.5" bottom="0.42" header="0.5" footer="0.2"/>
  <pageSetup horizontalDpi="300" verticalDpi="300" orientation="landscape"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L39"/>
  <sheetViews>
    <sheetView zoomScale="75" zoomScaleNormal="75" workbookViewId="0" topLeftCell="A1">
      <selection activeCell="D3" sqref="D3"/>
    </sheetView>
  </sheetViews>
  <sheetFormatPr defaultColWidth="9.140625" defaultRowHeight="12.75"/>
  <cols>
    <col min="1" max="1" width="15.57421875" style="0" customWidth="1"/>
    <col min="4" max="4" width="11.28125" style="0" bestFit="1" customWidth="1"/>
    <col min="5" max="5" width="8.8515625" style="24" customWidth="1"/>
    <col min="6" max="6" width="10.28125" style="29" customWidth="1"/>
  </cols>
  <sheetData>
    <row r="1" spans="1:11" ht="12.75">
      <c r="A1" s="1"/>
      <c r="B1" s="1"/>
      <c r="C1" s="1" t="s">
        <v>0</v>
      </c>
      <c r="D1" s="1"/>
      <c r="E1" s="23"/>
      <c r="F1" s="27"/>
      <c r="G1" s="1"/>
      <c r="H1" s="1"/>
      <c r="I1" s="1"/>
      <c r="J1" s="1"/>
      <c r="K1" s="1"/>
    </row>
    <row r="2" spans="1:11" ht="12.75">
      <c r="A2" s="1"/>
      <c r="B2" s="1"/>
      <c r="C2" s="1" t="s">
        <v>1</v>
      </c>
      <c r="D2" s="1">
        <v>0.001064</v>
      </c>
      <c r="E2" s="23" t="s">
        <v>3</v>
      </c>
      <c r="F2" s="27"/>
      <c r="G2" s="1"/>
      <c r="H2" s="1"/>
      <c r="I2" s="1"/>
      <c r="J2" s="1"/>
      <c r="K2" s="1"/>
    </row>
    <row r="4" spans="1:12" ht="12.75">
      <c r="A4" s="2" t="s">
        <v>17</v>
      </c>
      <c r="B4" s="12" t="s">
        <v>12</v>
      </c>
      <c r="C4" s="8"/>
      <c r="D4" s="2"/>
      <c r="E4" s="21" t="s">
        <v>21</v>
      </c>
      <c r="F4" s="28" t="s">
        <v>8</v>
      </c>
      <c r="G4" s="12" t="s">
        <v>13</v>
      </c>
      <c r="H4" s="2"/>
      <c r="I4" s="2" t="s">
        <v>14</v>
      </c>
      <c r="J4" s="2"/>
      <c r="K4" s="18"/>
      <c r="L4" s="18"/>
    </row>
    <row r="5" spans="1:12" ht="12.75">
      <c r="A5" s="44">
        <v>1</v>
      </c>
      <c r="B5" s="45">
        <f>G5</f>
        <v>0</v>
      </c>
      <c r="C5" s="46"/>
      <c r="D5" s="47"/>
      <c r="E5" s="25">
        <v>0.18</v>
      </c>
      <c r="F5" s="48"/>
      <c r="G5" s="14">
        <v>0</v>
      </c>
      <c r="H5" s="47"/>
      <c r="I5" s="48">
        <f>G5/25.4</f>
        <v>0</v>
      </c>
      <c r="J5" s="47"/>
      <c r="K5" s="46"/>
      <c r="L5" s="49"/>
    </row>
    <row r="6" spans="1:12" ht="12.75">
      <c r="A6" s="2" t="s">
        <v>5</v>
      </c>
      <c r="B6" s="12" t="s">
        <v>12</v>
      </c>
      <c r="C6" s="2" t="s">
        <v>11</v>
      </c>
      <c r="D6" s="2" t="s">
        <v>6</v>
      </c>
      <c r="E6" s="21" t="s">
        <v>21</v>
      </c>
      <c r="F6" s="28" t="s">
        <v>8</v>
      </c>
      <c r="G6" s="12" t="s">
        <v>13</v>
      </c>
      <c r="H6" s="2" t="s">
        <v>7</v>
      </c>
      <c r="I6" s="2" t="s">
        <v>14</v>
      </c>
      <c r="J6" s="2" t="s">
        <v>15</v>
      </c>
      <c r="K6" s="18" t="s">
        <v>27</v>
      </c>
      <c r="L6" s="18" t="s">
        <v>36</v>
      </c>
    </row>
    <row r="7" spans="1:12" ht="12.75">
      <c r="A7" s="44">
        <f>IF(A5="",1,IF(J5&gt;J7,"Error",A5+1))</f>
        <v>2</v>
      </c>
      <c r="B7" s="52">
        <f>D7+(E7/E5)*SQRT(D7^2-F7^2)</f>
        <v>489.7118685475501</v>
      </c>
      <c r="C7" s="53">
        <f>D7+(E5/E7)*SQRT(D7^2-F7^2)</f>
        <v>489.7118685475501</v>
      </c>
      <c r="D7" s="1">
        <v>254.2</v>
      </c>
      <c r="E7" s="23">
        <v>0.18</v>
      </c>
      <c r="F7" s="54">
        <f>PI()*E7*E5/$D$2</f>
        <v>95.66503945141851</v>
      </c>
      <c r="G7" s="55">
        <f>G5+B7+C7</f>
        <v>979.4237370951003</v>
      </c>
      <c r="H7" s="54">
        <f>G5+C7</f>
        <v>489.7118685475501</v>
      </c>
      <c r="I7" s="54">
        <f>G7/25.4</f>
        <v>38.559989649413396</v>
      </c>
      <c r="J7" s="54">
        <f>H7/25.4</f>
        <v>19.279994824706698</v>
      </c>
      <c r="K7" s="56">
        <f>SQRT(E5^2*(1+(($D$2*C7)/(PI()*E5^2)^2)))</f>
        <v>1.2891224654192497</v>
      </c>
      <c r="L7" s="57">
        <f>J7-J5</f>
        <v>19.279994824706698</v>
      </c>
    </row>
    <row r="8" spans="1:12" ht="12.75">
      <c r="A8" s="2" t="s">
        <v>5</v>
      </c>
      <c r="B8" s="12" t="s">
        <v>12</v>
      </c>
      <c r="C8" s="2" t="s">
        <v>11</v>
      </c>
      <c r="D8" s="2" t="s">
        <v>6</v>
      </c>
      <c r="E8" s="21" t="s">
        <v>21</v>
      </c>
      <c r="F8" s="28" t="s">
        <v>8</v>
      </c>
      <c r="G8" s="12" t="s">
        <v>13</v>
      </c>
      <c r="H8" s="2" t="s">
        <v>7</v>
      </c>
      <c r="I8" s="2" t="s">
        <v>14</v>
      </c>
      <c r="J8" s="2" t="s">
        <v>15</v>
      </c>
      <c r="K8" s="18" t="s">
        <v>27</v>
      </c>
      <c r="L8" s="18" t="s">
        <v>36</v>
      </c>
    </row>
    <row r="9" spans="1:12" ht="12.75">
      <c r="A9" s="44">
        <f>IF(A7="",1,IF(J7&gt;J9,"Error",A7+1))</f>
        <v>3</v>
      </c>
      <c r="B9" s="52">
        <f>D9+(E9/E7)*SQRT(D9^2-F9^2)</f>
        <v>1060.6549073559117</v>
      </c>
      <c r="C9" s="53">
        <f>D9+(E7/E9)*SQRT(D9^2-F9^2)</f>
        <v>955.7131749582884</v>
      </c>
      <c r="D9" s="1">
        <v>508.33</v>
      </c>
      <c r="E9" s="23">
        <v>0.2</v>
      </c>
      <c r="F9" s="54">
        <f>PI()*E9*E7/$D$2</f>
        <v>106.2944882793539</v>
      </c>
      <c r="G9" s="55">
        <f>G7+B9+C9</f>
        <v>2995.7918194093004</v>
      </c>
      <c r="H9" s="54">
        <f>G7+C9</f>
        <v>1935.1369120533886</v>
      </c>
      <c r="I9" s="54">
        <f>G9/25.4</f>
        <v>117.9445598192638</v>
      </c>
      <c r="J9" s="54">
        <f>H9/25.4</f>
        <v>76.18649260052712</v>
      </c>
      <c r="K9" s="56">
        <f>SQRT(E7^2*(1+(($D$2*C9)/(PI()*E7^2)^2)))</f>
        <v>1.792311472913314</v>
      </c>
      <c r="L9" s="57">
        <f>J9-J7</f>
        <v>56.90649777582042</v>
      </c>
    </row>
    <row r="10" spans="1:12" ht="12.75">
      <c r="A10" s="2" t="s">
        <v>24</v>
      </c>
      <c r="B10" s="12" t="s">
        <v>12</v>
      </c>
      <c r="C10" s="2" t="s">
        <v>11</v>
      </c>
      <c r="D10" s="2" t="s">
        <v>6</v>
      </c>
      <c r="E10" s="21" t="s">
        <v>21</v>
      </c>
      <c r="F10" s="28" t="s">
        <v>8</v>
      </c>
      <c r="G10" s="12" t="s">
        <v>13</v>
      </c>
      <c r="H10" s="2" t="s">
        <v>7</v>
      </c>
      <c r="I10" s="2" t="s">
        <v>14</v>
      </c>
      <c r="J10" s="2" t="s">
        <v>15</v>
      </c>
      <c r="K10" s="18" t="s">
        <v>27</v>
      </c>
      <c r="L10" s="18" t="s">
        <v>36</v>
      </c>
    </row>
    <row r="11" spans="1:12" ht="12.75">
      <c r="A11" s="44">
        <f>IF(A9="",1,IF(J9&gt;J11,"Error",A9+1))</f>
        <v>4</v>
      </c>
      <c r="B11" s="52">
        <f>D11-(E11/E9)*SQRT(D11^2-F11^2)</f>
        <v>9.202275291403453</v>
      </c>
      <c r="C11" s="53">
        <f>D11-(E9/E11)*SQRT(D11^2-F11^2)</f>
        <v>9.202275291403453</v>
      </c>
      <c r="D11" s="1">
        <v>762.5</v>
      </c>
      <c r="E11" s="26">
        <v>0.2</v>
      </c>
      <c r="F11" s="54">
        <f>PI()*E11*E9/$D$2</f>
        <v>118.1049869770599</v>
      </c>
      <c r="G11" s="55">
        <f>G9+B11+C11</f>
        <v>3014.1963699921075</v>
      </c>
      <c r="H11" s="54">
        <f>G9+C11</f>
        <v>3004.994094700704</v>
      </c>
      <c r="I11" s="54">
        <f>G11/25.4</f>
        <v>118.66914842488613</v>
      </c>
      <c r="J11" s="54">
        <f>H11/25.4</f>
        <v>118.30685412207497</v>
      </c>
      <c r="K11" s="56">
        <f>SQRT(E9^2*(1+(($D$2*C11)/(PI()*E9^2)^2)))</f>
        <v>0.2545612937933714</v>
      </c>
      <c r="L11" s="57">
        <f>J11-J9</f>
        <v>42.12036152154785</v>
      </c>
    </row>
    <row r="12" spans="1:12" ht="12.75">
      <c r="A12" s="2" t="s">
        <v>25</v>
      </c>
      <c r="B12" s="12"/>
      <c r="C12" s="2"/>
      <c r="D12" s="2"/>
      <c r="E12" s="21"/>
      <c r="F12" s="28"/>
      <c r="G12" s="12" t="s">
        <v>13</v>
      </c>
      <c r="H12" s="2"/>
      <c r="I12" s="2" t="s">
        <v>14</v>
      </c>
      <c r="J12" s="2"/>
      <c r="K12" s="18"/>
      <c r="L12" s="18"/>
    </row>
    <row r="13" spans="1:12" ht="12.75">
      <c r="A13" s="44">
        <f>IF(A11="",1,A11+1)</f>
        <v>5</v>
      </c>
      <c r="B13" s="13"/>
      <c r="C13" s="3"/>
      <c r="D13" s="3"/>
      <c r="E13" s="22">
        <f>E11</f>
        <v>0.2</v>
      </c>
      <c r="F13" s="6"/>
      <c r="G13" s="15">
        <f>G11</f>
        <v>3014.1963699921075</v>
      </c>
      <c r="H13" s="6"/>
      <c r="I13" s="6">
        <f>G13/25.4</f>
        <v>118.66914842488613</v>
      </c>
      <c r="J13" s="6"/>
      <c r="K13" s="9"/>
      <c r="L13" s="32"/>
    </row>
    <row r="14" spans="1:12" ht="12.75">
      <c r="A14" s="2" t="s">
        <v>9</v>
      </c>
      <c r="B14" s="12" t="s">
        <v>12</v>
      </c>
      <c r="C14" s="2" t="s">
        <v>7</v>
      </c>
      <c r="D14" s="2" t="s">
        <v>28</v>
      </c>
      <c r="E14" s="21" t="s">
        <v>21</v>
      </c>
      <c r="F14" s="28" t="s">
        <v>8</v>
      </c>
      <c r="G14" s="12" t="s">
        <v>13</v>
      </c>
      <c r="H14" s="2" t="s">
        <v>7</v>
      </c>
      <c r="I14" s="2" t="s">
        <v>14</v>
      </c>
      <c r="J14" s="2" t="s">
        <v>15</v>
      </c>
      <c r="K14" s="18" t="s">
        <v>27</v>
      </c>
      <c r="L14" s="18" t="s">
        <v>36</v>
      </c>
    </row>
    <row r="15" spans="1:12" ht="12.75">
      <c r="A15" s="44">
        <f>IF(A13="",1,IF(J13&gt;J15,"Error",A13+1))</f>
        <v>6</v>
      </c>
      <c r="B15" s="52">
        <f>D15/2+(E15/E13)*SQRT((D15/2)^2-F15^2)</f>
        <v>470.3433957511514</v>
      </c>
      <c r="C15" s="53">
        <f>D15/2+(E13/E15)*SQRT((D15/2)^2-F15^2)</f>
        <v>470.3433957511514</v>
      </c>
      <c r="D15" s="1">
        <v>500</v>
      </c>
      <c r="E15" s="23">
        <v>0.2</v>
      </c>
      <c r="F15" s="54">
        <f>PI()*E15*E13/$D$2</f>
        <v>118.1049869770599</v>
      </c>
      <c r="G15" s="55">
        <f>B15+C15+G13</f>
        <v>3954.88316149441</v>
      </c>
      <c r="H15" s="54">
        <f>C15+G13</f>
        <v>3484.539765743259</v>
      </c>
      <c r="I15" s="54">
        <f>G15/25.4</f>
        <v>155.70406147615788</v>
      </c>
      <c r="J15" s="54">
        <f>H15/25.4</f>
        <v>137.18660495052202</v>
      </c>
      <c r="K15" s="56">
        <f>SQRT(E13^2*(1+(($D$2*C15)/(PI()*E13^2)^2)))</f>
        <v>1.1435221636321529</v>
      </c>
      <c r="L15" s="57">
        <f>J15-J13</f>
        <v>137.18660495052202</v>
      </c>
    </row>
    <row r="16" spans="1:12" ht="12.75">
      <c r="A16" s="2" t="s">
        <v>5</v>
      </c>
      <c r="B16" s="12" t="s">
        <v>12</v>
      </c>
      <c r="C16" s="2" t="s">
        <v>11</v>
      </c>
      <c r="D16" s="2" t="s">
        <v>6</v>
      </c>
      <c r="E16" s="21" t="s">
        <v>21</v>
      </c>
      <c r="F16" s="28" t="s">
        <v>8</v>
      </c>
      <c r="G16" s="12" t="s">
        <v>13</v>
      </c>
      <c r="H16" s="2" t="s">
        <v>7</v>
      </c>
      <c r="I16" s="2" t="s">
        <v>14</v>
      </c>
      <c r="J16" s="2" t="s">
        <v>15</v>
      </c>
      <c r="K16" s="18" t="s">
        <v>27</v>
      </c>
      <c r="L16" s="18" t="s">
        <v>36</v>
      </c>
    </row>
    <row r="17" spans="1:12" ht="12.75">
      <c r="A17" s="44">
        <f>IF(A15="",1,IF(J15&gt;J17,"Error",A15+1))</f>
        <v>7</v>
      </c>
      <c r="B17" s="52">
        <f>D17+(E17/E15)*SQRT(D17^2-F17^2)</f>
        <v>299.7763190611945</v>
      </c>
      <c r="C17" s="53">
        <f>D17+(E15/E17)*SQRT(D17^2-F17^2)</f>
        <v>1494.4079765298632</v>
      </c>
      <c r="D17" s="1">
        <v>250</v>
      </c>
      <c r="E17" s="23">
        <v>0.04</v>
      </c>
      <c r="F17" s="54">
        <f>PI()*E17*E15/$D$2</f>
        <v>23.620997395411983</v>
      </c>
      <c r="G17" s="55">
        <f>G15+B17+C17</f>
        <v>5749.067457085468</v>
      </c>
      <c r="H17" s="54">
        <f>G15+C17</f>
        <v>5449.291138024273</v>
      </c>
      <c r="I17" s="54">
        <f>G17/25.4</f>
        <v>226.34123846793182</v>
      </c>
      <c r="J17" s="54">
        <f>H17/25.4</f>
        <v>214.539021182058</v>
      </c>
      <c r="K17" s="56">
        <f>SQRT(E15^2*(1+(($D$2*C17)/(PI()*E15^2)^2)))</f>
        <v>2.016840083325004</v>
      </c>
      <c r="L17" s="57">
        <f>J17-J15</f>
        <v>77.35241623153598</v>
      </c>
    </row>
    <row r="18" spans="1:12" ht="12.75">
      <c r="A18" s="2" t="s">
        <v>63</v>
      </c>
      <c r="B18" s="12" t="s">
        <v>12</v>
      </c>
      <c r="C18" s="2" t="s">
        <v>16</v>
      </c>
      <c r="D18" s="2" t="s">
        <v>28</v>
      </c>
      <c r="E18" s="21" t="s">
        <v>21</v>
      </c>
      <c r="F18" s="28" t="s">
        <v>8</v>
      </c>
      <c r="G18" s="12" t="s">
        <v>13</v>
      </c>
      <c r="H18" s="2" t="s">
        <v>7</v>
      </c>
      <c r="I18" s="2" t="s">
        <v>14</v>
      </c>
      <c r="J18" s="2" t="s">
        <v>15</v>
      </c>
      <c r="K18" s="18" t="s">
        <v>27</v>
      </c>
      <c r="L18" s="18" t="s">
        <v>36</v>
      </c>
    </row>
    <row r="19" spans="1:12" ht="12.75">
      <c r="A19" s="44">
        <f>IF(A17="",1,IF(J17&gt;J19,"Error",A17+1))</f>
        <v>8</v>
      </c>
      <c r="B19" s="45">
        <f>(D19/2-SQRT((D19^2)/4-F19^2))</f>
        <v>200.01117045910064</v>
      </c>
      <c r="C19" s="47">
        <f>2*B19</f>
        <v>400.0223409182013</v>
      </c>
      <c r="D19" s="1">
        <v>1000</v>
      </c>
      <c r="E19" s="25">
        <v>0.36807</v>
      </c>
      <c r="F19" s="48">
        <f>PI()*E19*E19/$D$2</f>
        <v>400.0083776006213</v>
      </c>
      <c r="G19" s="51">
        <f>G17</f>
        <v>5749.067457085468</v>
      </c>
      <c r="H19" s="48">
        <f>H17</f>
        <v>5449.291138024273</v>
      </c>
      <c r="I19" s="48">
        <f>G19/25.4</f>
        <v>226.34123846793182</v>
      </c>
      <c r="J19" s="48">
        <f>H19/25.4</f>
        <v>214.539021182058</v>
      </c>
      <c r="K19" s="46">
        <f>SQRT(E17^2*(1+(($D$2*C19)/(PI()*E17^2)^2)))</f>
        <v>5.191776203609441</v>
      </c>
      <c r="L19" s="49">
        <f>J19-J17</f>
        <v>0</v>
      </c>
    </row>
    <row r="20" spans="1:12" ht="12.75">
      <c r="A20" s="2" t="s">
        <v>29</v>
      </c>
      <c r="B20" s="12" t="s">
        <v>12</v>
      </c>
      <c r="C20" s="2" t="s">
        <v>11</v>
      </c>
      <c r="D20" s="2" t="s">
        <v>6</v>
      </c>
      <c r="E20" s="21" t="s">
        <v>21</v>
      </c>
      <c r="F20" s="28" t="s">
        <v>8</v>
      </c>
      <c r="G20" s="12" t="s">
        <v>13</v>
      </c>
      <c r="H20" s="2" t="s">
        <v>7</v>
      </c>
      <c r="I20" s="2" t="s">
        <v>14</v>
      </c>
      <c r="J20" s="2" t="s">
        <v>15</v>
      </c>
      <c r="K20" s="18" t="s">
        <v>27</v>
      </c>
      <c r="L20" s="18" t="s">
        <v>36</v>
      </c>
    </row>
    <row r="21" spans="1:12" ht="12.75">
      <c r="A21" s="44">
        <f>IF(A19="",1,IF(J19&gt;J21,"Error",A19+1))</f>
        <v>9</v>
      </c>
      <c r="B21" s="52">
        <f>D21+(E21/E19)*SQRT(D21^2-F21^2)</f>
        <v>499.06410296072454</v>
      </c>
      <c r="C21" s="53">
        <f>D21+(E19/E21)*SQRT(D21^2-F21^2)</f>
        <v>854.863439808795</v>
      </c>
      <c r="D21" s="1">
        <v>350</v>
      </c>
      <c r="E21" s="58">
        <f>E23</f>
        <v>0.2</v>
      </c>
      <c r="F21" s="54">
        <f>PI()*E21*E19/$D$2</f>
        <v>217.35451278323217</v>
      </c>
      <c r="G21" s="55">
        <f>G19+B21+C21</f>
        <v>7102.994999854988</v>
      </c>
      <c r="H21" s="54">
        <f>G19+C21</f>
        <v>6603.930896894263</v>
      </c>
      <c r="I21" s="54">
        <f>G21/25.4</f>
        <v>279.6454724352358</v>
      </c>
      <c r="J21" s="54">
        <f>H21/25.4</f>
        <v>259.99727940528595</v>
      </c>
      <c r="K21" s="56">
        <f>SQRT(E19^2*(1+(($D$2*C21)/(PI()*E19^2)^2)))</f>
        <v>0.903183252729246</v>
      </c>
      <c r="L21" s="57">
        <f>J21-J19</f>
        <v>45.45825822322794</v>
      </c>
    </row>
    <row r="22" spans="1:12" ht="12.75">
      <c r="A22" s="2" t="s">
        <v>5</v>
      </c>
      <c r="B22" s="12" t="s">
        <v>12</v>
      </c>
      <c r="C22" s="2" t="s">
        <v>11</v>
      </c>
      <c r="D22" s="2" t="s">
        <v>6</v>
      </c>
      <c r="E22" s="21" t="s">
        <v>21</v>
      </c>
      <c r="F22" s="28" t="s">
        <v>8</v>
      </c>
      <c r="G22" s="12" t="s">
        <v>13</v>
      </c>
      <c r="H22" s="2" t="s">
        <v>7</v>
      </c>
      <c r="I22" s="2" t="s">
        <v>14</v>
      </c>
      <c r="J22" s="2" t="s">
        <v>15</v>
      </c>
      <c r="K22" s="18" t="s">
        <v>27</v>
      </c>
      <c r="L22" s="18" t="s">
        <v>36</v>
      </c>
    </row>
    <row r="23" spans="1:12" ht="12.75">
      <c r="A23" s="44">
        <f>IF(A21="",1,IF(J21&gt;J23,"Error",A21+1))</f>
        <v>10</v>
      </c>
      <c r="B23" s="52">
        <f>D23+(E23/E21)*SQRT(D23^2-F23^2)</f>
        <v>782.1664716470409</v>
      </c>
      <c r="C23" s="53">
        <f>D23+(E21/E23)*SQRT(D23^2-F23^2)</f>
        <v>782.1664716470409</v>
      </c>
      <c r="D23" s="1">
        <v>400</v>
      </c>
      <c r="E23" s="23">
        <v>0.2</v>
      </c>
      <c r="F23" s="54">
        <f>PI()*E23*E21/$D$2</f>
        <v>118.1049869770599</v>
      </c>
      <c r="G23" s="55">
        <f>G21+B23+C23</f>
        <v>8667.32794314907</v>
      </c>
      <c r="H23" s="54">
        <f>G21+C23</f>
        <v>7885.16147150203</v>
      </c>
      <c r="I23" s="54">
        <f>G23/25.4</f>
        <v>341.2333835885461</v>
      </c>
      <c r="J23" s="54">
        <f>H23/25.4</f>
        <v>310.4394280118909</v>
      </c>
      <c r="K23" s="56">
        <f>SQRT(E21^2*(1+(($D$2*C23)/(PI()*E21^2)^2)))</f>
        <v>1.4656230313951597</v>
      </c>
      <c r="L23" s="57">
        <f>J23-J21</f>
        <v>50.442148606604974</v>
      </c>
    </row>
    <row r="24" spans="1:12" ht="12.75">
      <c r="A24" s="2" t="s">
        <v>30</v>
      </c>
      <c r="B24" s="12" t="s">
        <v>84</v>
      </c>
      <c r="C24" s="2" t="s">
        <v>31</v>
      </c>
      <c r="D24" s="2"/>
      <c r="E24" s="21"/>
      <c r="F24" s="28"/>
      <c r="G24" s="12" t="s">
        <v>13</v>
      </c>
      <c r="H24" s="2"/>
      <c r="I24" s="2" t="s">
        <v>14</v>
      </c>
      <c r="J24" s="2"/>
      <c r="K24" s="18"/>
      <c r="L24" s="18"/>
    </row>
    <row r="25" spans="1:12" ht="12.75">
      <c r="A25" s="44">
        <f>IF(A23="",1,IF(J23&gt;J25,"Error",A23+1))</f>
        <v>11</v>
      </c>
      <c r="B25" s="62">
        <v>1.4</v>
      </c>
      <c r="C25" s="1">
        <v>10</v>
      </c>
      <c r="D25" s="3"/>
      <c r="E25" s="43">
        <f>E23</f>
        <v>0.2</v>
      </c>
      <c r="F25" s="6"/>
      <c r="G25" s="15">
        <f>G23-(B25-1)*C25</f>
        <v>8663.32794314907</v>
      </c>
      <c r="H25" s="6">
        <f>H23+C25</f>
        <v>7895.16147150203</v>
      </c>
      <c r="I25" s="6">
        <f>G25/25.4</f>
        <v>341.0759032735855</v>
      </c>
      <c r="J25" s="6">
        <f>H25/25.4</f>
        <v>310.8331287992925</v>
      </c>
      <c r="K25" s="9">
        <f>SQRT(E23^2*(1+(($D$2*C25)/(PI()*E23^2)^2)))</f>
        <v>0.25874975333101646</v>
      </c>
      <c r="L25" s="32">
        <f>J25-J23</f>
        <v>0.393700787401599</v>
      </c>
    </row>
    <row r="26" spans="1:12" ht="12.75">
      <c r="A26" s="19" t="s">
        <v>24</v>
      </c>
      <c r="B26" s="12" t="s">
        <v>12</v>
      </c>
      <c r="C26" s="2" t="s">
        <v>11</v>
      </c>
      <c r="D26" s="2" t="s">
        <v>6</v>
      </c>
      <c r="E26" s="21" t="s">
        <v>21</v>
      </c>
      <c r="F26" s="28" t="s">
        <v>8</v>
      </c>
      <c r="G26" s="12" t="s">
        <v>13</v>
      </c>
      <c r="H26" s="2" t="s">
        <v>7</v>
      </c>
      <c r="I26" s="2" t="s">
        <v>14</v>
      </c>
      <c r="J26" s="2" t="s">
        <v>15</v>
      </c>
      <c r="K26" s="18" t="s">
        <v>27</v>
      </c>
      <c r="L26" s="18" t="s">
        <v>36</v>
      </c>
    </row>
    <row r="27" spans="1:12" ht="12.75">
      <c r="A27" s="44">
        <f>IF(A25="",1,IF(J25&gt;J27,"Error",A25+1))</f>
        <v>12</v>
      </c>
      <c r="B27" s="52">
        <f>D27-(E27/E25)*SQRT(D27^2-F27^2)</f>
        <v>-88.0627813474938</v>
      </c>
      <c r="C27" s="17">
        <v>100</v>
      </c>
      <c r="D27" s="1">
        <v>762.5</v>
      </c>
      <c r="E27" s="58">
        <f>(D27*$D$2*E25)/SQRT(D27*D27*$D$2*D$2-2*D27*C27*$D$2*$D$2+C27*C27*$D$2*$D$2+PI()*PI()*E25*E25*E25*E25)</f>
        <v>0.22661582903263966</v>
      </c>
      <c r="F27" s="54">
        <f>PI()*E27*E25/$D$2</f>
        <v>133.8222976834777</v>
      </c>
      <c r="G27" s="55">
        <f>G25+B27+C27</f>
        <v>8675.265161801577</v>
      </c>
      <c r="H27" s="54">
        <f>G25+C27</f>
        <v>8763.32794314907</v>
      </c>
      <c r="I27" s="54">
        <f>G27/25.4</f>
        <v>341.54587251187314</v>
      </c>
      <c r="J27" s="54">
        <f>H27/25.4</f>
        <v>345.0129111476012</v>
      </c>
      <c r="K27" s="56">
        <f>SQRT(E25^2*(1+(($D$2*C27)/(PI()*E25^2)^2)))</f>
        <v>0.5563401374057229</v>
      </c>
      <c r="L27" s="57">
        <f>J27-J25</f>
        <v>34.17978234830866</v>
      </c>
    </row>
    <row r="28" spans="1:12" ht="12.75">
      <c r="A28" s="2" t="s">
        <v>5</v>
      </c>
      <c r="B28" s="12" t="s">
        <v>12</v>
      </c>
      <c r="C28" s="2" t="s">
        <v>11</v>
      </c>
      <c r="D28" s="2" t="s">
        <v>6</v>
      </c>
      <c r="E28" s="21" t="s">
        <v>21</v>
      </c>
      <c r="F28" s="28" t="s">
        <v>8</v>
      </c>
      <c r="G28" s="12" t="s">
        <v>13</v>
      </c>
      <c r="H28" s="2" t="s">
        <v>7</v>
      </c>
      <c r="I28" s="2" t="s">
        <v>14</v>
      </c>
      <c r="J28" s="2" t="s">
        <v>15</v>
      </c>
      <c r="K28" s="18" t="s">
        <v>27</v>
      </c>
      <c r="L28" s="18" t="s">
        <v>36</v>
      </c>
    </row>
    <row r="29" spans="1:12" ht="12.75">
      <c r="A29" s="44">
        <f>IF(A27="",1,IF(J27&gt;J29,"Error",A27+1))</f>
        <v>13</v>
      </c>
      <c r="B29" s="52">
        <f>D29+(E29/E27)*SQRT(D29^2-F29^2)</f>
        <v>2517.891857922107</v>
      </c>
      <c r="C29" s="17">
        <v>700</v>
      </c>
      <c r="D29" s="1">
        <v>1500</v>
      </c>
      <c r="E29" s="58">
        <f>(D29*$D$2*E27)/SQRT(D29*D29*$D$2*D$2+2*D29*C29*$D$2*$D$2+C29*C29*$D$2*$D$2+PI()*PI()*E27*E27*E27*E27)</f>
        <v>0.15414509925264386</v>
      </c>
      <c r="F29" s="54">
        <f>PI()*E29*E27/$D$2</f>
        <v>103.14025679318259</v>
      </c>
      <c r="G29" s="55">
        <f>G27+B29+C29</f>
        <v>11893.157019723683</v>
      </c>
      <c r="H29" s="54">
        <f>G27+C29</f>
        <v>9375.265161801577</v>
      </c>
      <c r="I29" s="54">
        <f>G29/25.4</f>
        <v>468.2345283355781</v>
      </c>
      <c r="J29" s="54">
        <f>H29/25.4</f>
        <v>369.10492762998337</v>
      </c>
      <c r="K29" s="56">
        <f>SQRT(E27^2*(1+(($D$2*C29)/(PI()*E27^2)^2)))</f>
        <v>1.2332154657068568</v>
      </c>
      <c r="L29" s="57">
        <f>J29-J27</f>
        <v>24.092016482382178</v>
      </c>
    </row>
    <row r="30" spans="1:12" ht="12.75">
      <c r="A30" s="2" t="s">
        <v>32</v>
      </c>
      <c r="B30" s="12" t="s">
        <v>12</v>
      </c>
      <c r="C30" s="2" t="s">
        <v>11</v>
      </c>
      <c r="D30" s="2" t="s">
        <v>6</v>
      </c>
      <c r="E30" s="21" t="s">
        <v>21</v>
      </c>
      <c r="F30" s="28" t="s">
        <v>8</v>
      </c>
      <c r="G30" s="12" t="s">
        <v>13</v>
      </c>
      <c r="H30" s="2" t="s">
        <v>7</v>
      </c>
      <c r="I30" s="2" t="s">
        <v>14</v>
      </c>
      <c r="J30" s="2" t="s">
        <v>15</v>
      </c>
      <c r="K30" s="18" t="s">
        <v>27</v>
      </c>
      <c r="L30" s="18" t="s">
        <v>36</v>
      </c>
    </row>
    <row r="31" spans="1:12" ht="12.75">
      <c r="A31" s="44">
        <f>IF(A29="",1,IF(J29&gt;J31,"Error",A29+1))</f>
        <v>14</v>
      </c>
      <c r="B31" s="52">
        <f>D31-(E31/E29)*SQRT(D31^2-F31^2)</f>
        <v>66.91680157909076</v>
      </c>
      <c r="C31" s="53">
        <f>D31-(E29/E31)*SQRT(D31^2-F31^2)</f>
        <v>-69.77756013924068</v>
      </c>
      <c r="D31" s="1">
        <v>406</v>
      </c>
      <c r="E31" s="58">
        <f>E33</f>
        <v>0.13013103375051496</v>
      </c>
      <c r="F31" s="54">
        <f>PI()*E31*E29/$D$2</f>
        <v>59.22687878902439</v>
      </c>
      <c r="G31" s="55">
        <f>G29+B31+C31</f>
        <v>11890.296261163534</v>
      </c>
      <c r="H31" s="54">
        <f>G29+C31</f>
        <v>11823.379459584443</v>
      </c>
      <c r="I31" s="54">
        <f>G31/25.4</f>
        <v>468.12190004580845</v>
      </c>
      <c r="J31" s="54">
        <f>H31/25.4</f>
        <v>465.48738029860016</v>
      </c>
      <c r="K31" s="56">
        <f>SQRT(E29^2*(1-(($D$2*C31)/(PI()*E29^2)^2)))</f>
        <v>0.5833964857138441</v>
      </c>
      <c r="L31" s="57">
        <f>J31-J29</f>
        <v>96.38245266861679</v>
      </c>
    </row>
    <row r="32" spans="1:12" ht="12.75">
      <c r="A32" s="2" t="s">
        <v>61</v>
      </c>
      <c r="B32" s="12" t="s">
        <v>12</v>
      </c>
      <c r="C32" s="2" t="s">
        <v>31</v>
      </c>
      <c r="D32" s="2" t="s">
        <v>28</v>
      </c>
      <c r="E32" s="21" t="s">
        <v>21</v>
      </c>
      <c r="F32" s="28"/>
      <c r="G32" s="12" t="s">
        <v>13</v>
      </c>
      <c r="H32" s="2" t="s">
        <v>7</v>
      </c>
      <c r="I32" s="2" t="s">
        <v>14</v>
      </c>
      <c r="J32" s="2" t="s">
        <v>15</v>
      </c>
      <c r="K32" s="18"/>
      <c r="L32" s="18" t="s">
        <v>36</v>
      </c>
    </row>
    <row r="33" spans="1:12" ht="12.75">
      <c r="A33" s="44">
        <f>IF(A31="",1,IF(J31&gt;J33,"Error",A31+1))</f>
        <v>15</v>
      </c>
      <c r="B33" s="45">
        <v>0</v>
      </c>
      <c r="C33" s="1">
        <v>100</v>
      </c>
      <c r="D33" s="1">
        <v>100</v>
      </c>
      <c r="E33" s="50">
        <f>SQRT(($D$2/(2*PI()))*SQRT(C33*(D33*2-C33)))</f>
        <v>0.13013103375051496</v>
      </c>
      <c r="F33" s="48"/>
      <c r="G33" s="51">
        <f>G31</f>
        <v>11890.296261163534</v>
      </c>
      <c r="H33" s="47">
        <f>G33-(C33/2)</f>
        <v>11840.296261163534</v>
      </c>
      <c r="I33" s="47">
        <f>G33/25.4</f>
        <v>468.12190004580845</v>
      </c>
      <c r="J33" s="47">
        <f>H33/25.4</f>
        <v>466.15339610880056</v>
      </c>
      <c r="K33" s="46">
        <f>SQRT(E31^2*(1+(($D$2*C33/2)/(PI()*E31^2)^2)))</f>
        <v>0.5790025665994654</v>
      </c>
      <c r="L33" s="49">
        <f>J33-J31</f>
        <v>0.6660158102004061</v>
      </c>
    </row>
    <row r="34" spans="1:12" ht="12.75">
      <c r="A34" s="2" t="s">
        <v>5</v>
      </c>
      <c r="B34" s="12" t="s">
        <v>12</v>
      </c>
      <c r="C34" s="2" t="s">
        <v>11</v>
      </c>
      <c r="D34" s="2" t="s">
        <v>6</v>
      </c>
      <c r="E34" s="21" t="s">
        <v>21</v>
      </c>
      <c r="F34" s="28" t="s">
        <v>8</v>
      </c>
      <c r="G34" s="12" t="s">
        <v>13</v>
      </c>
      <c r="H34" s="2" t="s">
        <v>7</v>
      </c>
      <c r="I34" s="2" t="s">
        <v>14</v>
      </c>
      <c r="J34" s="2" t="s">
        <v>15</v>
      </c>
      <c r="K34" s="18" t="s">
        <v>27</v>
      </c>
      <c r="L34" s="18" t="s">
        <v>36</v>
      </c>
    </row>
    <row r="35" spans="1:12" ht="12.75">
      <c r="A35" s="44">
        <f>IF(A33="",1,IF(J33&gt;J35,"Error",A33+1))</f>
        <v>16</v>
      </c>
      <c r="B35" s="52">
        <f>D35+(E35/E33)*SQRT(D35^2-F35^2)</f>
        <v>329.72972972972974</v>
      </c>
      <c r="C35" s="17">
        <v>100</v>
      </c>
      <c r="D35" s="1">
        <v>200</v>
      </c>
      <c r="E35" s="58">
        <f>(D35*$D$2*E33)/SQRT(D35*D35*$D$2*D$2+2*D35*C35*$D$2*$D$2+C35*C35*$D$2*$D$2+PI()*PI()*E33*E33*E33*E33)</f>
        <v>0.08557364066233572</v>
      </c>
      <c r="F35" s="54">
        <f>PI()*E35*E33/$D$2</f>
        <v>32.879797461071455</v>
      </c>
      <c r="G35" s="55">
        <f>G33+B35+C35</f>
        <v>12320.025990893264</v>
      </c>
      <c r="H35" s="54">
        <f>G33+C35</f>
        <v>11990.296261163534</v>
      </c>
      <c r="I35" s="54">
        <f>G35/25.4</f>
        <v>485.0403933422545</v>
      </c>
      <c r="J35" s="54">
        <f>H35/25.4</f>
        <v>472.0589079198242</v>
      </c>
      <c r="K35" s="56">
        <f>SQRT(E33^2*(1+(($D$2*C35)/(PI()*E33^2)^2)))</f>
        <v>0.8084267798091297</v>
      </c>
      <c r="L35" s="57">
        <f>J35-J33</f>
        <v>5.9055118110236435</v>
      </c>
    </row>
    <row r="36" spans="1:12" ht="12.75">
      <c r="A36" s="2" t="s">
        <v>29</v>
      </c>
      <c r="B36" s="12" t="s">
        <v>12</v>
      </c>
      <c r="C36" s="2" t="s">
        <v>11</v>
      </c>
      <c r="D36" s="2" t="s">
        <v>6</v>
      </c>
      <c r="E36" s="21" t="s">
        <v>21</v>
      </c>
      <c r="F36" s="28" t="s">
        <v>8</v>
      </c>
      <c r="G36" s="12" t="s">
        <v>13</v>
      </c>
      <c r="H36" s="2" t="s">
        <v>7</v>
      </c>
      <c r="I36" s="2" t="s">
        <v>14</v>
      </c>
      <c r="J36" s="2" t="s">
        <v>15</v>
      </c>
      <c r="K36" s="18" t="s">
        <v>27</v>
      </c>
      <c r="L36" s="18" t="s">
        <v>36</v>
      </c>
    </row>
    <row r="37" spans="1:12" ht="12.75">
      <c r="A37" s="44">
        <f>IF(A35="",1,IF(J35&gt;J37,"Error",A35+1))</f>
        <v>17</v>
      </c>
      <c r="B37" s="52">
        <f>D37+(E37/E35)*SQRT(D37^2-F37^2)</f>
        <v>2183.565534054558</v>
      </c>
      <c r="C37" s="53">
        <f>D37+(E35/E37)*SQRT(D37^2-F37^2)</f>
        <v>484.1526287435712</v>
      </c>
      <c r="D37" s="1">
        <v>400</v>
      </c>
      <c r="E37" s="58">
        <f>E39</f>
        <v>0.3939587051145029</v>
      </c>
      <c r="F37" s="54">
        <f>PI()*E37*E35/$D$2</f>
        <v>99.54030225430046</v>
      </c>
      <c r="G37" s="55">
        <f>G35+B37+C37</f>
        <v>14987.744153691394</v>
      </c>
      <c r="H37" s="54">
        <f>G35+C37</f>
        <v>12804.178619636836</v>
      </c>
      <c r="I37" s="54">
        <f>G37/25.4</f>
        <v>590.0686674681651</v>
      </c>
      <c r="J37" s="54">
        <f>H37/25.4</f>
        <v>504.10152045814317</v>
      </c>
      <c r="K37" s="56">
        <f>SQRT(E35^2*(1+(($D$2*C37)/(PI()*E35^2)^2)))</f>
        <v>2.671130214901102</v>
      </c>
      <c r="L37" s="57">
        <f>J37-J35</f>
        <v>32.04261253831896</v>
      </c>
    </row>
    <row r="38" spans="1:12" ht="12.75">
      <c r="A38" s="2" t="s">
        <v>35</v>
      </c>
      <c r="B38" s="12" t="s">
        <v>12</v>
      </c>
      <c r="C38" s="2" t="s">
        <v>31</v>
      </c>
      <c r="D38" s="2" t="s">
        <v>28</v>
      </c>
      <c r="E38" s="21" t="s">
        <v>21</v>
      </c>
      <c r="F38" s="28"/>
      <c r="G38" s="12" t="s">
        <v>13</v>
      </c>
      <c r="H38" s="2" t="s">
        <v>7</v>
      </c>
      <c r="I38" s="2" t="s">
        <v>33</v>
      </c>
      <c r="J38" s="2" t="s">
        <v>34</v>
      </c>
      <c r="K38" s="31"/>
      <c r="L38" s="18" t="s">
        <v>36</v>
      </c>
    </row>
    <row r="39" spans="1:12" ht="12.75">
      <c r="A39" s="44">
        <f>IF(A37="",1,IF(J37&gt;J39,"Error",A37+1))</f>
        <v>18</v>
      </c>
      <c r="B39" s="51"/>
      <c r="C39" s="1">
        <v>300</v>
      </c>
      <c r="D39" s="1">
        <v>1000</v>
      </c>
      <c r="E39" s="50">
        <f>SQRT(($D$2/(2*PI()))*2*SQRT(C39*(D39-C39)))</f>
        <v>0.3939587051145029</v>
      </c>
      <c r="F39" s="48"/>
      <c r="G39" s="51">
        <f>G37</f>
        <v>14987.744153691394</v>
      </c>
      <c r="H39" s="48">
        <f>G39-C39</f>
        <v>14687.744153691394</v>
      </c>
      <c r="I39" s="48">
        <f>G39/25.4</f>
        <v>590.0686674681651</v>
      </c>
      <c r="J39" s="48">
        <f>H39/25.4</f>
        <v>578.257643846118</v>
      </c>
      <c r="K39" s="49">
        <f>SQRT(E37^2*(1+(($D$2*C39/2)/(PI()*E37^2)^2)))</f>
        <v>0.5093081867022407</v>
      </c>
      <c r="L39" s="49">
        <f>J39-J37</f>
        <v>74.15612338797479</v>
      </c>
    </row>
  </sheetData>
  <printOptions/>
  <pageMargins left="0.74" right="0.57" top="0.46" bottom="0.47"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codeName="Sheet8"/>
  <dimension ref="A1:L55"/>
  <sheetViews>
    <sheetView workbookViewId="0" topLeftCell="A1">
      <selection activeCell="C34" sqref="C34"/>
    </sheetView>
  </sheetViews>
  <sheetFormatPr defaultColWidth="9.140625" defaultRowHeight="12.75"/>
  <cols>
    <col min="7" max="8" width="12.28125" style="0" customWidth="1"/>
  </cols>
  <sheetData>
    <row r="1" spans="1:5" ht="12.75">
      <c r="A1" s="1"/>
      <c r="B1" s="1"/>
      <c r="C1" s="1" t="s">
        <v>0</v>
      </c>
      <c r="D1" s="1"/>
      <c r="E1" s="1"/>
    </row>
    <row r="2" spans="1:5" ht="12.75">
      <c r="A2" s="1"/>
      <c r="B2" s="1"/>
      <c r="C2" s="1" t="s">
        <v>1</v>
      </c>
      <c r="D2" s="1">
        <v>0.001064</v>
      </c>
      <c r="E2" s="1" t="s">
        <v>3</v>
      </c>
    </row>
    <row r="3" spans="1:5" ht="12.75">
      <c r="A3" s="1"/>
      <c r="B3" s="1"/>
      <c r="C3" s="1"/>
      <c r="D3" s="1"/>
      <c r="E3" s="1"/>
    </row>
    <row r="5" spans="1:10" ht="12.75">
      <c r="A5" s="2" t="s">
        <v>17</v>
      </c>
      <c r="B5" s="12" t="s">
        <v>12</v>
      </c>
      <c r="C5" s="8"/>
      <c r="D5" s="2"/>
      <c r="E5" s="2" t="s">
        <v>21</v>
      </c>
      <c r="F5" s="2" t="s">
        <v>8</v>
      </c>
      <c r="G5" s="12" t="s">
        <v>13</v>
      </c>
      <c r="H5" s="2"/>
      <c r="I5" s="2" t="s">
        <v>14</v>
      </c>
      <c r="J5" s="2" t="s">
        <v>15</v>
      </c>
    </row>
    <row r="6" spans="1:10" ht="12.75">
      <c r="A6" s="1">
        <f>IF(A4="",1,A4+1)</f>
        <v>1</v>
      </c>
      <c r="B6" s="13">
        <f>G6</f>
        <v>0</v>
      </c>
      <c r="C6" s="9"/>
      <c r="D6" s="3"/>
      <c r="E6" s="7">
        <v>0.712757</v>
      </c>
      <c r="F6" s="3"/>
      <c r="G6" s="14">
        <v>0</v>
      </c>
      <c r="H6" s="3"/>
      <c r="I6" s="6">
        <f>G6/25.4</f>
        <v>0</v>
      </c>
      <c r="J6" s="3"/>
    </row>
    <row r="7" spans="1:11" ht="12.75">
      <c r="A7" s="2" t="s">
        <v>5</v>
      </c>
      <c r="B7" s="12" t="s">
        <v>12</v>
      </c>
      <c r="C7" s="2" t="s">
        <v>11</v>
      </c>
      <c r="D7" s="2" t="s">
        <v>6</v>
      </c>
      <c r="E7" s="2" t="s">
        <v>21</v>
      </c>
      <c r="F7" s="2" t="s">
        <v>8</v>
      </c>
      <c r="G7" s="12" t="s">
        <v>13</v>
      </c>
      <c r="H7" s="2" t="s">
        <v>7</v>
      </c>
      <c r="I7" s="2" t="s">
        <v>14</v>
      </c>
      <c r="J7" s="2" t="s">
        <v>15</v>
      </c>
      <c r="K7" s="18" t="s">
        <v>27</v>
      </c>
    </row>
    <row r="8" spans="1:11" ht="12.75">
      <c r="A8" s="1">
        <f>IF(A6="",1,A6+1)</f>
        <v>2</v>
      </c>
      <c r="B8" s="13">
        <f>D8+(E8/E6)*SQRT(D8^2-F8^2)</f>
        <v>857.2129526065032</v>
      </c>
      <c r="C8" s="3">
        <f>D8+(E6/E8)*SQRT(D8^2-F8^2)</f>
        <v>1221.1643305927487</v>
      </c>
      <c r="D8" s="1">
        <v>750</v>
      </c>
      <c r="E8" s="1">
        <v>0.34</v>
      </c>
      <c r="F8" s="3">
        <f>PI()*E8*E6/$D$2</f>
        <v>715.5313277238704</v>
      </c>
      <c r="G8" s="15">
        <f>G6+B8+C8</f>
        <v>2078.377283199252</v>
      </c>
      <c r="H8" s="6">
        <f>G6+C8</f>
        <v>1221.1643305927487</v>
      </c>
      <c r="I8" s="6">
        <f>G8/25.4</f>
        <v>81.82587729130914</v>
      </c>
      <c r="J8" s="6">
        <f>H8/25.4</f>
        <v>48.07733585010822</v>
      </c>
      <c r="K8" s="9">
        <f>SQRT(E6^2*(1+(($D$2*C8)/(PI()*E6^2)^2)))</f>
        <v>0.8758776623844908</v>
      </c>
    </row>
    <row r="9" spans="1:11" ht="12.75">
      <c r="A9" s="2" t="s">
        <v>5</v>
      </c>
      <c r="B9" s="12" t="s">
        <v>12</v>
      </c>
      <c r="C9" s="2" t="s">
        <v>11</v>
      </c>
      <c r="D9" s="2" t="s">
        <v>6</v>
      </c>
      <c r="E9" s="2" t="s">
        <v>21</v>
      </c>
      <c r="F9" s="2" t="s">
        <v>8</v>
      </c>
      <c r="G9" s="12" t="s">
        <v>13</v>
      </c>
      <c r="H9" s="2" t="s">
        <v>7</v>
      </c>
      <c r="I9" s="2" t="s">
        <v>14</v>
      </c>
      <c r="J9" s="2" t="s">
        <v>15</v>
      </c>
      <c r="K9" s="18" t="s">
        <v>27</v>
      </c>
    </row>
    <row r="10" spans="1:11" ht="12.75">
      <c r="A10" s="1">
        <f>IF(A8="",1,A8+1)</f>
        <v>3</v>
      </c>
      <c r="B10" s="13">
        <f>D10+(E10/E8)*SQRT(D10^2-F10^2)</f>
        <v>157.50808929138483</v>
      </c>
      <c r="C10" s="3">
        <f>D10+(E8/E10)*SQRT(D10^2-F10^2)</f>
        <v>189.39361944443357</v>
      </c>
      <c r="D10" s="1">
        <v>150</v>
      </c>
      <c r="E10" s="1">
        <f>E12</f>
        <v>0.14843307648690052</v>
      </c>
      <c r="F10" s="3">
        <f>PI()*E10*E8/$D$2</f>
        <v>149.01083580632772</v>
      </c>
      <c r="G10" s="15">
        <f>G8+B10+C10</f>
        <v>2425.2789919350703</v>
      </c>
      <c r="H10" s="6">
        <f>G8+C10</f>
        <v>2267.7709026436855</v>
      </c>
      <c r="I10" s="6">
        <f>G10/25.4</f>
        <v>95.48342487933348</v>
      </c>
      <c r="J10" s="6">
        <f>H10/25.4</f>
        <v>89.28231900171991</v>
      </c>
      <c r="K10" s="9">
        <f>SQRT(E8^2*(1+(($D$2*C10)/(PI()*E8^2)^2)))</f>
        <v>0.5405773472387089</v>
      </c>
    </row>
    <row r="11" spans="1:11" ht="12.75">
      <c r="A11" s="2" t="s">
        <v>4</v>
      </c>
      <c r="B11" s="12" t="s">
        <v>12</v>
      </c>
      <c r="C11" s="2" t="s">
        <v>2</v>
      </c>
      <c r="D11" s="2" t="s">
        <v>28</v>
      </c>
      <c r="E11" s="2" t="s">
        <v>21</v>
      </c>
      <c r="F11" s="2"/>
      <c r="G11" s="12" t="s">
        <v>13</v>
      </c>
      <c r="H11" s="2" t="s">
        <v>7</v>
      </c>
      <c r="I11" s="2" t="s">
        <v>14</v>
      </c>
      <c r="J11" s="2" t="s">
        <v>15</v>
      </c>
      <c r="K11" s="18" t="s">
        <v>27</v>
      </c>
    </row>
    <row r="12" spans="1:11" ht="12.75">
      <c r="A12" s="1">
        <f>IF(A10="",1,A10+1)</f>
        <v>4</v>
      </c>
      <c r="B12" s="13"/>
      <c r="C12" s="1">
        <v>8.5</v>
      </c>
      <c r="D12" s="1">
        <v>1000</v>
      </c>
      <c r="E12" s="3">
        <f>SQRT(($D$2/(2*PI()))*SQRT(C12*(D12*2-C12)))</f>
        <v>0.14843307648690052</v>
      </c>
      <c r="F12" s="3"/>
      <c r="G12" s="15">
        <f>G10</f>
        <v>2425.2789919350703</v>
      </c>
      <c r="H12" s="6">
        <f>G12-(C12/2)</f>
        <v>2421.0289919350703</v>
      </c>
      <c r="I12" s="3">
        <f>G12/25.4</f>
        <v>95.48342487933348</v>
      </c>
      <c r="J12" s="3">
        <f>H12/25.4</f>
        <v>95.31610204468781</v>
      </c>
      <c r="K12" s="9"/>
    </row>
    <row r="15" spans="1:10" ht="12.75">
      <c r="A15" s="2" t="s">
        <v>17</v>
      </c>
      <c r="B15" s="12" t="s">
        <v>12</v>
      </c>
      <c r="C15" s="8"/>
      <c r="D15" s="2"/>
      <c r="E15" s="2" t="s">
        <v>21</v>
      </c>
      <c r="F15" s="2" t="s">
        <v>8</v>
      </c>
      <c r="G15" s="12" t="s">
        <v>13</v>
      </c>
      <c r="H15" s="2"/>
      <c r="I15" s="2" t="s">
        <v>14</v>
      </c>
      <c r="J15" s="2" t="s">
        <v>15</v>
      </c>
    </row>
    <row r="16" spans="1:10" ht="12.75">
      <c r="A16" s="1">
        <f>IF(A14="",1,A14+1)</f>
        <v>1</v>
      </c>
      <c r="B16" s="13">
        <f>G16</f>
        <v>0</v>
      </c>
      <c r="C16" s="9"/>
      <c r="D16" s="3"/>
      <c r="E16" s="7">
        <v>0.712757</v>
      </c>
      <c r="F16" s="3"/>
      <c r="G16" s="14">
        <v>0</v>
      </c>
      <c r="H16" s="3"/>
      <c r="I16" s="6">
        <f>G16/25.4</f>
        <v>0</v>
      </c>
      <c r="J16" s="3"/>
    </row>
    <row r="17" spans="1:11" ht="12.75">
      <c r="A17" s="2" t="s">
        <v>5</v>
      </c>
      <c r="B17" s="12" t="s">
        <v>12</v>
      </c>
      <c r="C17" s="2" t="s">
        <v>11</v>
      </c>
      <c r="D17" s="2" t="s">
        <v>6</v>
      </c>
      <c r="E17" s="2" t="s">
        <v>21</v>
      </c>
      <c r="F17" s="2" t="s">
        <v>8</v>
      </c>
      <c r="G17" s="12" t="s">
        <v>13</v>
      </c>
      <c r="H17" s="2" t="s">
        <v>7</v>
      </c>
      <c r="I17" s="2" t="s">
        <v>14</v>
      </c>
      <c r="J17" s="2" t="s">
        <v>15</v>
      </c>
      <c r="K17" s="18" t="s">
        <v>27</v>
      </c>
    </row>
    <row r="18" spans="1:11" ht="12.75">
      <c r="A18" s="1">
        <f>IF(A16="",1,A16+1)</f>
        <v>2</v>
      </c>
      <c r="B18" s="13">
        <f>D18+(E18/E16)*SQRT(D18^2-F18^2)</f>
        <v>458.08899176977945</v>
      </c>
      <c r="C18" s="3">
        <f>D18+(E16/E18)*SQRT(D18^2-F18^2)</f>
        <v>1439.8428739750789</v>
      </c>
      <c r="D18" s="1">
        <v>406.6</v>
      </c>
      <c r="E18" s="1">
        <v>0.15911</v>
      </c>
      <c r="F18" s="3">
        <f>PI()*E18*E16/$D$2</f>
        <v>334.8476163357206</v>
      </c>
      <c r="G18" s="15">
        <f>G16+B18+C18</f>
        <v>1897.9318657448584</v>
      </c>
      <c r="H18" s="6">
        <f>G16+C18</f>
        <v>1439.8428739750789</v>
      </c>
      <c r="I18" s="6">
        <f>G18/25.4</f>
        <v>74.72172699782908</v>
      </c>
      <c r="J18" s="6">
        <f>H18/25.4</f>
        <v>56.6867273218535</v>
      </c>
      <c r="K18" s="9">
        <f>SQRT(E16^2*(1+(($D$2*C18)/(PI()*E16^2)^2)))</f>
        <v>0.901979329608616</v>
      </c>
    </row>
    <row r="19" spans="1:11" ht="12.75">
      <c r="A19" s="2" t="s">
        <v>5</v>
      </c>
      <c r="B19" s="12" t="s">
        <v>12</v>
      </c>
      <c r="C19" s="2" t="s">
        <v>11</v>
      </c>
      <c r="D19" s="2" t="s">
        <v>6</v>
      </c>
      <c r="E19" s="2" t="s">
        <v>21</v>
      </c>
      <c r="F19" s="2" t="s">
        <v>8</v>
      </c>
      <c r="G19" s="12" t="s">
        <v>13</v>
      </c>
      <c r="H19" s="2" t="s">
        <v>7</v>
      </c>
      <c r="I19" s="2" t="s">
        <v>14</v>
      </c>
      <c r="J19" s="2" t="s">
        <v>15</v>
      </c>
      <c r="K19" s="18" t="s">
        <v>27</v>
      </c>
    </row>
    <row r="20" spans="1:11" ht="12.75">
      <c r="A20" s="1">
        <f>IF(A18="",1,A18+1)</f>
        <v>3</v>
      </c>
      <c r="B20" s="13">
        <f>D20+(E20/E18)*SQRT(D20^2-F20^2)</f>
        <v>481.8508430842968</v>
      </c>
      <c r="C20" s="3">
        <f>D20+(E18/E20)*SQRT(D20^2-F20^2)</f>
        <v>515.8087839792802</v>
      </c>
      <c r="D20" s="1">
        <v>254</v>
      </c>
      <c r="E20" s="1">
        <f>E22</f>
        <v>0.14843307648690052</v>
      </c>
      <c r="F20" s="3">
        <f>PI()*E20*E18/$D$2</f>
        <v>69.73268848572</v>
      </c>
      <c r="G20" s="15">
        <f>G18+B20+C20</f>
        <v>2895.5914928084353</v>
      </c>
      <c r="H20" s="6">
        <f>G18+C20</f>
        <v>2413.7406497241386</v>
      </c>
      <c r="I20" s="6">
        <f>G20/25.4</f>
        <v>113.99966507119825</v>
      </c>
      <c r="J20" s="6">
        <f>H20/25.4</f>
        <v>95.02915943795821</v>
      </c>
      <c r="K20" s="9">
        <f>SQRT(E18^2*(1+(($D$2*C20)/(PI()*E18^2)^2)))</f>
        <v>1.4905832868380657</v>
      </c>
    </row>
    <row r="21" spans="1:11" ht="12.75">
      <c r="A21" s="2" t="s">
        <v>4</v>
      </c>
      <c r="B21" s="12" t="s">
        <v>12</v>
      </c>
      <c r="C21" s="2" t="s">
        <v>2</v>
      </c>
      <c r="D21" s="2" t="s">
        <v>28</v>
      </c>
      <c r="E21" s="2" t="s">
        <v>21</v>
      </c>
      <c r="F21" s="2"/>
      <c r="G21" s="12" t="s">
        <v>13</v>
      </c>
      <c r="H21" s="2" t="s">
        <v>7</v>
      </c>
      <c r="I21" s="2" t="s">
        <v>14</v>
      </c>
      <c r="J21" s="2" t="s">
        <v>15</v>
      </c>
      <c r="K21" s="18" t="s">
        <v>27</v>
      </c>
    </row>
    <row r="22" spans="1:11" ht="12.75">
      <c r="A22" s="1">
        <f>IF(A20="",1,A20+1)</f>
        <v>4</v>
      </c>
      <c r="B22" s="13"/>
      <c r="C22" s="1">
        <v>8.5</v>
      </c>
      <c r="D22" s="1">
        <v>1000</v>
      </c>
      <c r="E22" s="3">
        <f>SQRT(($D$2/(2*PI()))*SQRT(C22*(D22*2-C22)))</f>
        <v>0.14843307648690052</v>
      </c>
      <c r="F22" s="3"/>
      <c r="G22" s="15">
        <f>G20</f>
        <v>2895.5914928084353</v>
      </c>
      <c r="H22" s="6">
        <f>G22-(C22/2)</f>
        <v>2891.3414928084353</v>
      </c>
      <c r="I22" s="3">
        <f>G22/25.4</f>
        <v>113.99966507119825</v>
      </c>
      <c r="J22" s="3">
        <f>H22/25.4</f>
        <v>113.83234223655258</v>
      </c>
      <c r="K22" s="9"/>
    </row>
    <row r="25" spans="1:10" ht="12.75">
      <c r="A25" s="2" t="s">
        <v>17</v>
      </c>
      <c r="B25" s="12" t="s">
        <v>12</v>
      </c>
      <c r="C25" s="8"/>
      <c r="D25" s="2"/>
      <c r="E25" s="2" t="s">
        <v>21</v>
      </c>
      <c r="F25" s="2" t="s">
        <v>8</v>
      </c>
      <c r="G25" s="12" t="s">
        <v>13</v>
      </c>
      <c r="H25" s="2"/>
      <c r="I25" s="2" t="s">
        <v>14</v>
      </c>
      <c r="J25" s="2" t="s">
        <v>15</v>
      </c>
    </row>
    <row r="26" spans="1:10" ht="12.75">
      <c r="A26" s="1">
        <f>IF(A24="",1,A24+1)</f>
        <v>1</v>
      </c>
      <c r="B26" s="13">
        <f>G26</f>
        <v>0</v>
      </c>
      <c r="C26" s="9"/>
      <c r="D26" s="3"/>
      <c r="E26" s="7">
        <v>0.712757</v>
      </c>
      <c r="F26" s="3"/>
      <c r="G26" s="14">
        <v>0</v>
      </c>
      <c r="H26" s="3"/>
      <c r="I26" s="6">
        <f>G26/25.4</f>
        <v>0</v>
      </c>
      <c r="J26" s="3"/>
    </row>
    <row r="27" spans="1:11" ht="12.75">
      <c r="A27" s="2" t="s">
        <v>5</v>
      </c>
      <c r="B27" s="12" t="s">
        <v>12</v>
      </c>
      <c r="C27" s="2" t="s">
        <v>11</v>
      </c>
      <c r="D27" s="2" t="s">
        <v>6</v>
      </c>
      <c r="E27" s="2" t="s">
        <v>21</v>
      </c>
      <c r="F27" s="2" t="s">
        <v>8</v>
      </c>
      <c r="G27" s="12" t="s">
        <v>13</v>
      </c>
      <c r="H27" s="2" t="s">
        <v>7</v>
      </c>
      <c r="I27" s="2" t="s">
        <v>14</v>
      </c>
      <c r="J27" s="2" t="s">
        <v>15</v>
      </c>
      <c r="K27" s="18" t="s">
        <v>27</v>
      </c>
    </row>
    <row r="28" spans="1:11" ht="12.75">
      <c r="A28" s="1">
        <f>IF(A26="",1,A26+1)</f>
        <v>2</v>
      </c>
      <c r="B28" s="13">
        <f>D28+(E28/E26)*SQRT(D28^2-F28^2)</f>
        <v>527.5318400910106</v>
      </c>
      <c r="C28" s="3">
        <f>D28+(E26/E28)*SQRT(D28^2-F28^2)</f>
        <v>677.9216713903344</v>
      </c>
      <c r="D28" s="1">
        <v>508.3</v>
      </c>
      <c r="E28" s="1">
        <v>0.24</v>
      </c>
      <c r="F28" s="3">
        <f>PI()*E28*E26/$D$2</f>
        <v>505.0809372168496</v>
      </c>
      <c r="G28" s="15">
        <f>G26+B28+C28</f>
        <v>1205.453511481345</v>
      </c>
      <c r="H28" s="6">
        <f>G26+C28</f>
        <v>677.9216713903344</v>
      </c>
      <c r="I28" s="6">
        <f>G28/25.4</f>
        <v>47.45879966461988</v>
      </c>
      <c r="J28" s="6">
        <f>H28/25.4</f>
        <v>26.689829582296632</v>
      </c>
      <c r="K28" s="9">
        <f>SQRT(E26^2*(1+(($D$2*C28)/(PI()*E26^2)^2)))</f>
        <v>0.8073920970132095</v>
      </c>
    </row>
    <row r="29" spans="1:11" ht="12.75">
      <c r="A29" s="2" t="s">
        <v>5</v>
      </c>
      <c r="B29" s="12" t="s">
        <v>12</v>
      </c>
      <c r="C29" s="2" t="s">
        <v>11</v>
      </c>
      <c r="D29" s="2" t="s">
        <v>6</v>
      </c>
      <c r="E29" s="2" t="s">
        <v>21</v>
      </c>
      <c r="F29" s="2" t="s">
        <v>8</v>
      </c>
      <c r="G29" s="12" t="s">
        <v>13</v>
      </c>
      <c r="H29" s="2" t="s">
        <v>7</v>
      </c>
      <c r="I29" s="2" t="s">
        <v>14</v>
      </c>
      <c r="J29" s="2" t="s">
        <v>15</v>
      </c>
      <c r="K29" s="18" t="s">
        <v>27</v>
      </c>
    </row>
    <row r="30" spans="1:11" ht="12.75">
      <c r="A30" s="1">
        <f>IF(A28="",1,A28+1)</f>
        <v>3</v>
      </c>
      <c r="B30" s="13">
        <f>D30+(E30/E28)*SQRT(D30^2-F30^2)</f>
        <v>649.5102914588065</v>
      </c>
      <c r="C30" s="3">
        <f>D30+(E28/E30)*SQRT(D30^2-F30^2)</f>
        <v>1041.6486844388878</v>
      </c>
      <c r="D30" s="1">
        <v>406.6</v>
      </c>
      <c r="E30" s="1">
        <f>E32</f>
        <v>0.14843307648690052</v>
      </c>
      <c r="F30" s="3">
        <f>PI()*E30*E28/$D$2</f>
        <v>105.18411939270192</v>
      </c>
      <c r="G30" s="15">
        <f>G28+B30+C30</f>
        <v>2896.6124873790395</v>
      </c>
      <c r="H30" s="6">
        <f>G28+C30</f>
        <v>2247.1021959202326</v>
      </c>
      <c r="I30" s="6">
        <f>G30/25.4</f>
        <v>114.03986170783621</v>
      </c>
      <c r="J30" s="6">
        <f>H30/25.4</f>
        <v>88.46859039056034</v>
      </c>
      <c r="K30" s="9">
        <f>SQRT(E28^2*(1+(($D$2*C30)/(PI()*E28^2)^2)))</f>
        <v>1.4167491802944843</v>
      </c>
    </row>
    <row r="31" spans="1:11" ht="12.75">
      <c r="A31" s="2" t="s">
        <v>4</v>
      </c>
      <c r="B31" s="12" t="s">
        <v>12</v>
      </c>
      <c r="C31" s="2" t="s">
        <v>2</v>
      </c>
      <c r="D31" s="2" t="s">
        <v>28</v>
      </c>
      <c r="E31" s="2" t="s">
        <v>21</v>
      </c>
      <c r="F31" s="2"/>
      <c r="G31" s="12" t="s">
        <v>13</v>
      </c>
      <c r="H31" s="2" t="s">
        <v>7</v>
      </c>
      <c r="I31" s="2" t="s">
        <v>14</v>
      </c>
      <c r="J31" s="2" t="s">
        <v>15</v>
      </c>
      <c r="K31" s="18" t="s">
        <v>27</v>
      </c>
    </row>
    <row r="32" spans="1:11" ht="12.75">
      <c r="A32" s="1">
        <f>IF(A30="",1,A30+1)</f>
        <v>4</v>
      </c>
      <c r="B32" s="13"/>
      <c r="C32" s="1">
        <v>8.5</v>
      </c>
      <c r="D32" s="1">
        <v>1000</v>
      </c>
      <c r="E32" s="3">
        <f>SQRT(($D$2/(2*PI()))*SQRT(C32*(D32*2-C32)))</f>
        <v>0.14843307648690052</v>
      </c>
      <c r="F32" s="3"/>
      <c r="G32" s="15">
        <f>G30</f>
        <v>2896.6124873790395</v>
      </c>
      <c r="H32" s="6">
        <f>G32-(C32/2)</f>
        <v>2892.3624873790395</v>
      </c>
      <c r="I32" s="3">
        <f>G32/25.4</f>
        <v>114.03986170783621</v>
      </c>
      <c r="J32" s="3">
        <f>H32/25.4</f>
        <v>113.87253887319054</v>
      </c>
      <c r="K32" s="9"/>
    </row>
    <row r="35" spans="1:10" ht="12.75">
      <c r="A35" s="2" t="s">
        <v>17</v>
      </c>
      <c r="B35" s="12" t="s">
        <v>12</v>
      </c>
      <c r="C35" s="8"/>
      <c r="D35" s="2"/>
      <c r="E35" s="2" t="s">
        <v>21</v>
      </c>
      <c r="F35" s="2" t="s">
        <v>8</v>
      </c>
      <c r="G35" s="12" t="s">
        <v>13</v>
      </c>
      <c r="H35" s="2"/>
      <c r="I35" s="2" t="s">
        <v>14</v>
      </c>
      <c r="J35" s="2" t="s">
        <v>15</v>
      </c>
    </row>
    <row r="36" spans="1:10" ht="12.75">
      <c r="A36" s="1">
        <f>IF(A34="",1,A34+1)</f>
        <v>1</v>
      </c>
      <c r="B36" s="13">
        <f>G36</f>
        <v>0</v>
      </c>
      <c r="C36" s="9"/>
      <c r="D36" s="3"/>
      <c r="E36" s="7">
        <v>0.712757</v>
      </c>
      <c r="F36" s="3"/>
      <c r="G36" s="14">
        <v>0</v>
      </c>
      <c r="H36" s="3"/>
      <c r="I36" s="6">
        <f>G36/25.4</f>
        <v>0</v>
      </c>
      <c r="J36" s="3"/>
    </row>
    <row r="37" spans="1:11" ht="12.75">
      <c r="A37" s="2" t="s">
        <v>5</v>
      </c>
      <c r="B37" s="12" t="s">
        <v>12</v>
      </c>
      <c r="C37" s="2" t="s">
        <v>11</v>
      </c>
      <c r="D37" s="2" t="s">
        <v>6</v>
      </c>
      <c r="E37" s="2" t="s">
        <v>21</v>
      </c>
      <c r="F37" s="2" t="s">
        <v>8</v>
      </c>
      <c r="G37" s="12" t="s">
        <v>13</v>
      </c>
      <c r="H37" s="2" t="s">
        <v>7</v>
      </c>
      <c r="I37" s="2" t="s">
        <v>14</v>
      </c>
      <c r="J37" s="2" t="s">
        <v>15</v>
      </c>
      <c r="K37" s="18" t="s">
        <v>27</v>
      </c>
    </row>
    <row r="38" spans="1:11" ht="12.75">
      <c r="A38" s="1">
        <f>IF(A36="",1,A36+1)</f>
        <v>2</v>
      </c>
      <c r="B38" s="13">
        <f>D38+(E38/E36)*SQRT(D38^2-F38^2)</f>
        <v>396.5601508431229</v>
      </c>
      <c r="C38" s="3">
        <f>D38+(E36/E38)*SQRT(D38^2-F38^2)</f>
        <v>1493.8254680280738</v>
      </c>
      <c r="D38" s="1">
        <v>355.9</v>
      </c>
      <c r="E38" s="1">
        <v>0.13473147836845198</v>
      </c>
      <c r="F38" s="3">
        <f>PI()*E38*E36/$D$2</f>
        <v>283.5429223622893</v>
      </c>
      <c r="G38" s="15">
        <f>G36+B38+C38</f>
        <v>1890.3856188711968</v>
      </c>
      <c r="H38" s="6">
        <f>G36+C38</f>
        <v>1493.8254680280738</v>
      </c>
      <c r="I38" s="6">
        <f>G38/25.4</f>
        <v>74.42463066422035</v>
      </c>
      <c r="J38" s="6">
        <f>H38/25.4</f>
        <v>58.81202630031787</v>
      </c>
      <c r="K38" s="9">
        <f>SQRT(E36^2*(1+(($D$2*C38)/(PI()*E36^2)^2)))</f>
        <v>0.9083073126030865</v>
      </c>
    </row>
    <row r="39" spans="1:11" ht="12.75">
      <c r="A39" s="2" t="s">
        <v>5</v>
      </c>
      <c r="B39" s="12" t="s">
        <v>12</v>
      </c>
      <c r="C39" s="2" t="s">
        <v>11</v>
      </c>
      <c r="D39" s="2" t="s">
        <v>6</v>
      </c>
      <c r="E39" s="2" t="s">
        <v>21</v>
      </c>
      <c r="F39" s="2" t="s">
        <v>8</v>
      </c>
      <c r="G39" s="12" t="s">
        <v>13</v>
      </c>
      <c r="H39" s="2" t="s">
        <v>7</v>
      </c>
      <c r="I39" s="2" t="s">
        <v>14</v>
      </c>
      <c r="J39" s="2" t="s">
        <v>15</v>
      </c>
      <c r="K39" s="18" t="s">
        <v>27</v>
      </c>
    </row>
    <row r="40" spans="1:11" ht="12.75">
      <c r="A40" s="1">
        <f>IF(A38="",1,A38+1)</f>
        <v>3</v>
      </c>
      <c r="B40" s="13">
        <f>D40+(E40/E38)*SQRT(D40^2-F40^2)</f>
        <v>526.5905958689312</v>
      </c>
      <c r="C40" s="3">
        <f>D40+(E38/E40)*SQRT(D40^2-F40^2)</f>
        <v>478.6237848103362</v>
      </c>
      <c r="D40" s="1">
        <v>254.2</v>
      </c>
      <c r="E40" s="1">
        <f>E42</f>
        <v>0.14843307648690052</v>
      </c>
      <c r="F40" s="3">
        <f>PI()*E40*E38/$D$2</f>
        <v>59.04838294442704</v>
      </c>
      <c r="G40" s="15">
        <f>G38+B40+C40</f>
        <v>2895.599999550464</v>
      </c>
      <c r="H40" s="6">
        <f>G38+C40</f>
        <v>2369.009403681533</v>
      </c>
      <c r="I40" s="6">
        <f>G40/25.4</f>
        <v>113.99999998230173</v>
      </c>
      <c r="J40" s="6">
        <f>H40/25.4</f>
        <v>93.26808675911548</v>
      </c>
      <c r="K40" s="9">
        <f>SQRT(E38^2*(1+(($D$2*C40)/(PI()*E38^2)^2)))</f>
        <v>1.6913416098434917</v>
      </c>
    </row>
    <row r="41" spans="1:11" ht="12.75">
      <c r="A41" s="2" t="s">
        <v>4</v>
      </c>
      <c r="B41" s="12" t="s">
        <v>12</v>
      </c>
      <c r="C41" s="2" t="s">
        <v>2</v>
      </c>
      <c r="D41" s="2" t="s">
        <v>28</v>
      </c>
      <c r="E41" s="2" t="s">
        <v>21</v>
      </c>
      <c r="F41" s="2"/>
      <c r="G41" s="12" t="s">
        <v>13</v>
      </c>
      <c r="H41" s="2" t="s">
        <v>7</v>
      </c>
      <c r="I41" s="2" t="s">
        <v>14</v>
      </c>
      <c r="J41" s="2" t="s">
        <v>15</v>
      </c>
      <c r="K41" s="18" t="s">
        <v>27</v>
      </c>
    </row>
    <row r="42" spans="1:11" ht="12.75">
      <c r="A42" s="1">
        <f>IF(A40="",1,A40+1)</f>
        <v>4</v>
      </c>
      <c r="B42" s="13"/>
      <c r="C42" s="1">
        <v>8.5</v>
      </c>
      <c r="D42" s="1">
        <v>1000</v>
      </c>
      <c r="E42" s="3">
        <f>SQRT(($D$2/(2*PI()))*SQRT(C42*(D42*2-C42)))</f>
        <v>0.14843307648690052</v>
      </c>
      <c r="F42" s="3"/>
      <c r="G42" s="15">
        <f>G40</f>
        <v>2895.599999550464</v>
      </c>
      <c r="H42" s="6">
        <f>G42-(C42/2)</f>
        <v>2891.349999550464</v>
      </c>
      <c r="I42" s="3">
        <f>G42/25.4</f>
        <v>113.99999998230173</v>
      </c>
      <c r="J42" s="3">
        <f>H42/25.4</f>
        <v>113.83267714765607</v>
      </c>
      <c r="K42" s="9"/>
    </row>
    <row r="45" spans="1:10" ht="12.75">
      <c r="A45" s="2" t="s">
        <v>17</v>
      </c>
      <c r="B45" s="12" t="s">
        <v>12</v>
      </c>
      <c r="C45" s="8"/>
      <c r="D45" s="2"/>
      <c r="E45" s="2" t="s">
        <v>21</v>
      </c>
      <c r="F45" s="2" t="s">
        <v>8</v>
      </c>
      <c r="G45" s="12" t="s">
        <v>13</v>
      </c>
      <c r="H45" s="2"/>
      <c r="I45" s="2" t="s">
        <v>14</v>
      </c>
      <c r="J45" s="2" t="s">
        <v>15</v>
      </c>
    </row>
    <row r="46" spans="1:10" ht="12.75">
      <c r="A46" s="1">
        <f>IF(A44="",1,A44+1)</f>
        <v>1</v>
      </c>
      <c r="B46" s="13">
        <f>G46</f>
        <v>0</v>
      </c>
      <c r="C46" s="9"/>
      <c r="D46" s="3"/>
      <c r="E46" s="7">
        <v>0.712757</v>
      </c>
      <c r="F46" s="3"/>
      <c r="G46" s="14">
        <v>0</v>
      </c>
      <c r="H46" s="3"/>
      <c r="I46" s="6">
        <f>G46/25.4</f>
        <v>0</v>
      </c>
      <c r="J46" s="3"/>
    </row>
    <row r="47" spans="1:12" ht="12.75">
      <c r="A47" s="19" t="s">
        <v>24</v>
      </c>
      <c r="B47" s="12" t="s">
        <v>12</v>
      </c>
      <c r="C47" s="2" t="s">
        <v>11</v>
      </c>
      <c r="D47" s="2" t="s">
        <v>6</v>
      </c>
      <c r="E47" s="21" t="s">
        <v>21</v>
      </c>
      <c r="F47" s="28" t="s">
        <v>8</v>
      </c>
      <c r="G47" s="12" t="s">
        <v>13</v>
      </c>
      <c r="H47" s="2" t="s">
        <v>7</v>
      </c>
      <c r="I47" s="2" t="s">
        <v>14</v>
      </c>
      <c r="J47" s="2" t="s">
        <v>15</v>
      </c>
      <c r="K47" s="18" t="s">
        <v>27</v>
      </c>
      <c r="L47" s="18" t="s">
        <v>36</v>
      </c>
    </row>
    <row r="48" spans="1:12" ht="12.75">
      <c r="A48" s="1">
        <f>IF(A46="",1,IF(J46&gt;J48,"Error",A46+1))</f>
        <v>2</v>
      </c>
      <c r="B48" s="13">
        <f>D48-(E48/E46)*SQRT(D48^2-F48^2)</f>
        <v>741.8888912956548</v>
      </c>
      <c r="C48" s="3">
        <f>D48-(E46/E48)*SQRT(D48^2-F48^2)</f>
        <v>270.47993783583547</v>
      </c>
      <c r="D48" s="1">
        <v>1016.7</v>
      </c>
      <c r="E48" s="30">
        <v>0.43253890144736473</v>
      </c>
      <c r="F48" s="6">
        <f>PI()*E48*E46/$D$2</f>
        <v>910.2798071907564</v>
      </c>
      <c r="G48" s="15">
        <f>G46+B48+C48</f>
        <v>1012.3688291314903</v>
      </c>
      <c r="H48" s="6">
        <f>G46+C48</f>
        <v>270.47993783583547</v>
      </c>
      <c r="I48" s="6">
        <f>G48/25.4</f>
        <v>39.85704051698781</v>
      </c>
      <c r="J48" s="6">
        <f>H48/25.4</f>
        <v>10.648816450229743</v>
      </c>
      <c r="K48" s="9">
        <f>SQRT(E46^2*(1+(($D$2*C48)/(PI()*E46^2)^2)))</f>
        <v>0.7519442603998636</v>
      </c>
      <c r="L48" s="32">
        <f>J48-J46</f>
        <v>10.648816450229743</v>
      </c>
    </row>
    <row r="49" spans="1:11" ht="12.75">
      <c r="A49" s="2" t="s">
        <v>5</v>
      </c>
      <c r="B49" s="12" t="s">
        <v>12</v>
      </c>
      <c r="C49" s="2" t="s">
        <v>11</v>
      </c>
      <c r="D49" s="2" t="s">
        <v>6</v>
      </c>
      <c r="E49" s="2" t="s">
        <v>21</v>
      </c>
      <c r="F49" s="2" t="s">
        <v>8</v>
      </c>
      <c r="G49" s="12" t="s">
        <v>13</v>
      </c>
      <c r="H49" s="2" t="s">
        <v>7</v>
      </c>
      <c r="I49" s="2" t="s">
        <v>14</v>
      </c>
      <c r="J49" s="2" t="s">
        <v>15</v>
      </c>
      <c r="K49" s="18" t="s">
        <v>27</v>
      </c>
    </row>
    <row r="50" spans="1:11" ht="12.75">
      <c r="A50" s="1">
        <f>IF(A48="",1,A48+1)</f>
        <v>3</v>
      </c>
      <c r="B50" s="13">
        <f>D50+(E50/E48)*SQRT(D50^2-F50^2)</f>
        <v>530.0388846093598</v>
      </c>
      <c r="C50" s="3">
        <f>D50+(E48/E50)*SQRT(D50^2-F50^2)</f>
        <v>1454.7922799745825</v>
      </c>
      <c r="D50" s="1">
        <v>406.6</v>
      </c>
      <c r="E50" s="1">
        <f>E52</f>
        <v>0.14843307648690052</v>
      </c>
      <c r="F50" s="3">
        <f>PI()*E50*E48/$D$2</f>
        <v>189.56759771594892</v>
      </c>
      <c r="G50" s="15">
        <f>G48+B50+C50</f>
        <v>2997.1999937154324</v>
      </c>
      <c r="H50" s="6">
        <f>G48+C50</f>
        <v>2467.1611091060727</v>
      </c>
      <c r="I50" s="6">
        <f>G50/25.4</f>
        <v>117.99999975257609</v>
      </c>
      <c r="J50" s="6">
        <f>H50/25.4</f>
        <v>97.13232713016035</v>
      </c>
      <c r="K50" s="9">
        <f>SQRT(E48^2*(1+(($D$2*C50)/(PI()*E48^2)^2)))</f>
        <v>1.0126087606996756</v>
      </c>
    </row>
    <row r="51" spans="1:11" ht="12.75">
      <c r="A51" s="2" t="s">
        <v>4</v>
      </c>
      <c r="B51" s="12" t="s">
        <v>12</v>
      </c>
      <c r="C51" s="2" t="s">
        <v>2</v>
      </c>
      <c r="D51" s="2" t="s">
        <v>28</v>
      </c>
      <c r="E51" s="2" t="s">
        <v>21</v>
      </c>
      <c r="F51" s="2"/>
      <c r="G51" s="12" t="s">
        <v>13</v>
      </c>
      <c r="H51" s="2" t="s">
        <v>7</v>
      </c>
      <c r="I51" s="2" t="s">
        <v>14</v>
      </c>
      <c r="J51" s="2" t="s">
        <v>15</v>
      </c>
      <c r="K51" s="18" t="s">
        <v>27</v>
      </c>
    </row>
    <row r="52" spans="1:11" ht="12.75">
      <c r="A52" s="1">
        <f>IF(A50="",1,A50+1)</f>
        <v>4</v>
      </c>
      <c r="B52" s="13"/>
      <c r="C52" s="1">
        <v>8.5</v>
      </c>
      <c r="D52" s="1">
        <v>1000</v>
      </c>
      <c r="E52" s="3">
        <f>SQRT(($D$2/(2*PI()))*SQRT(C52*(D52*2-C52)))</f>
        <v>0.14843307648690052</v>
      </c>
      <c r="F52" s="3"/>
      <c r="G52" s="15">
        <f>G50</f>
        <v>2997.1999937154324</v>
      </c>
      <c r="H52" s="6">
        <f>G52-(C52/2)</f>
        <v>2992.9499937154324</v>
      </c>
      <c r="I52" s="3">
        <f>G52/25.4</f>
        <v>117.99999975257609</v>
      </c>
      <c r="J52" s="3">
        <f>H52/25.4</f>
        <v>117.83267691793041</v>
      </c>
      <c r="K52" s="9"/>
    </row>
    <row r="55" spans="4:5" ht="12.75">
      <c r="D55" t="s">
        <v>54</v>
      </c>
      <c r="E55">
        <f>D48/F48</f>
        <v>1.116909319495585</v>
      </c>
    </row>
  </sheetData>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sheetPr codeName="Sheet11"/>
  <dimension ref="A1:L48"/>
  <sheetViews>
    <sheetView zoomScaleSheetLayoutView="150" workbookViewId="0" topLeftCell="A1">
      <selection activeCell="E22" sqref="E22"/>
    </sheetView>
  </sheetViews>
  <sheetFormatPr defaultColWidth="9.140625" defaultRowHeight="12.75"/>
  <cols>
    <col min="3" max="3" width="8.421875" style="0" customWidth="1"/>
    <col min="5" max="5" width="9.28125" style="37" customWidth="1"/>
    <col min="6" max="6" width="7.7109375" style="0" customWidth="1"/>
  </cols>
  <sheetData>
    <row r="1" spans="1:9" ht="12.75">
      <c r="A1" s="68" t="s">
        <v>20</v>
      </c>
      <c r="B1" s="68"/>
      <c r="D1" s="1"/>
      <c r="E1" s="38"/>
      <c r="F1" s="10"/>
      <c r="G1" s="10"/>
      <c r="H1" s="10"/>
      <c r="I1" s="1"/>
    </row>
    <row r="2" spans="1:9" ht="12.75">
      <c r="A2" s="68"/>
      <c r="B2" s="68"/>
      <c r="C2" s="1" t="s">
        <v>1</v>
      </c>
      <c r="D2" s="1">
        <v>0.001064</v>
      </c>
      <c r="E2" s="38" t="s">
        <v>3</v>
      </c>
      <c r="F2" s="10"/>
      <c r="G2" s="10"/>
      <c r="H2" s="10"/>
      <c r="I2" s="1"/>
    </row>
    <row r="3" spans="1:9" ht="12.75">
      <c r="A3" s="68"/>
      <c r="B3" s="68"/>
      <c r="F3" s="1"/>
      <c r="G3" s="1"/>
      <c r="H3" s="1"/>
      <c r="I3" s="1"/>
    </row>
    <row r="4" spans="1:9" ht="12.75">
      <c r="A4" s="33"/>
      <c r="B4" s="33"/>
      <c r="F4" s="36"/>
      <c r="G4" s="1"/>
      <c r="H4" s="1"/>
      <c r="I4" s="1"/>
    </row>
    <row r="5" spans="1:9" ht="12.75">
      <c r="A5" s="34" t="s">
        <v>51</v>
      </c>
      <c r="B5" s="33">
        <v>0.258</v>
      </c>
      <c r="C5" t="s">
        <v>52</v>
      </c>
      <c r="D5">
        <v>356</v>
      </c>
      <c r="F5" s="1"/>
      <c r="G5" s="1"/>
      <c r="H5" s="1"/>
      <c r="I5" s="1"/>
    </row>
    <row r="6" spans="1:9" ht="12.75">
      <c r="A6" s="33"/>
      <c r="B6" s="33"/>
      <c r="F6" s="1"/>
      <c r="G6" s="1"/>
      <c r="H6" s="1"/>
      <c r="I6" s="1"/>
    </row>
    <row r="7" spans="1:12" ht="12.75">
      <c r="A7" s="2" t="s">
        <v>17</v>
      </c>
      <c r="B7" s="12" t="s">
        <v>12</v>
      </c>
      <c r="C7" s="8"/>
      <c r="D7" s="2"/>
      <c r="E7" s="39" t="s">
        <v>21</v>
      </c>
      <c r="F7" s="2" t="s">
        <v>8</v>
      </c>
      <c r="G7" s="12" t="s">
        <v>13</v>
      </c>
      <c r="H7" s="2"/>
      <c r="I7" s="2" t="s">
        <v>33</v>
      </c>
      <c r="J7" s="2" t="s">
        <v>34</v>
      </c>
      <c r="K7" s="31" t="s">
        <v>27</v>
      </c>
      <c r="L7" s="18" t="s">
        <v>36</v>
      </c>
    </row>
    <row r="8" spans="1:12" ht="12.75">
      <c r="A8" s="1">
        <v>1</v>
      </c>
      <c r="B8" s="13"/>
      <c r="C8" s="9"/>
      <c r="D8" s="3"/>
      <c r="E8" s="40">
        <f>B5</f>
        <v>0.258</v>
      </c>
      <c r="F8" s="3"/>
      <c r="G8" s="14">
        <v>0</v>
      </c>
      <c r="H8" s="3"/>
      <c r="I8" s="6">
        <f>G8/25.4</f>
        <v>0</v>
      </c>
      <c r="J8" s="3"/>
      <c r="K8" s="6"/>
      <c r="L8" s="32">
        <f>J8-J6</f>
        <v>0</v>
      </c>
    </row>
    <row r="9" spans="1:12" ht="12.75">
      <c r="A9" s="2" t="s">
        <v>5</v>
      </c>
      <c r="B9" s="12" t="s">
        <v>12</v>
      </c>
      <c r="C9" s="2" t="s">
        <v>11</v>
      </c>
      <c r="D9" s="2" t="s">
        <v>6</v>
      </c>
      <c r="E9" s="39" t="s">
        <v>21</v>
      </c>
      <c r="F9" s="28" t="s">
        <v>8</v>
      </c>
      <c r="G9" s="12" t="s">
        <v>13</v>
      </c>
      <c r="H9" s="2" t="s">
        <v>7</v>
      </c>
      <c r="I9" s="2" t="s">
        <v>14</v>
      </c>
      <c r="J9" s="2" t="s">
        <v>15</v>
      </c>
      <c r="K9" s="18" t="s">
        <v>27</v>
      </c>
      <c r="L9" s="18" t="s">
        <v>36</v>
      </c>
    </row>
    <row r="10" spans="1:12" ht="12.75">
      <c r="A10" s="1">
        <f>IF(A8="",1,IF(J8&gt;J10,"Error",A8+1))</f>
        <v>2</v>
      </c>
      <c r="B10" s="13">
        <f>D10+(E10/E8)*SQRT(D10^2-F10^2)</f>
        <v>754.70233187198</v>
      </c>
      <c r="C10" s="3">
        <f>D10+(E8/E10)*SQRT(D10^2-F10^2)</f>
        <v>777.3373378996237</v>
      </c>
      <c r="D10" s="1">
        <v>406.6</v>
      </c>
      <c r="E10" s="38">
        <v>0.25</v>
      </c>
      <c r="F10" s="6">
        <f>PI()*E10*E8/$D$2</f>
        <v>190.44429150050905</v>
      </c>
      <c r="G10" s="15">
        <f>G8+B10+C10</f>
        <v>1532.0396697716037</v>
      </c>
      <c r="H10" s="6">
        <f>G8+C10</f>
        <v>777.3373378996237</v>
      </c>
      <c r="I10" s="6">
        <f>G10/25.4</f>
        <v>60.316522431952905</v>
      </c>
      <c r="J10" s="6">
        <f>H10/25.4</f>
        <v>30.603832200772587</v>
      </c>
      <c r="K10" s="9">
        <f>SQRT(E8^2*(1+(($D$2*C10)/(PI()*E8^2)^2)))</f>
        <v>1.1513141169033183</v>
      </c>
      <c r="L10" s="32">
        <f>J10-J8</f>
        <v>30.603832200772587</v>
      </c>
    </row>
    <row r="11" spans="1:12" ht="12.75">
      <c r="A11" s="2" t="s">
        <v>5</v>
      </c>
      <c r="B11" s="12" t="s">
        <v>12</v>
      </c>
      <c r="C11" s="2" t="s">
        <v>11</v>
      </c>
      <c r="D11" s="2" t="s">
        <v>6</v>
      </c>
      <c r="E11" s="39" t="s">
        <v>21</v>
      </c>
      <c r="F11" s="28" t="s">
        <v>8</v>
      </c>
      <c r="G11" s="12" t="s">
        <v>13</v>
      </c>
      <c r="H11" s="2" t="s">
        <v>7</v>
      </c>
      <c r="I11" s="2" t="s">
        <v>14</v>
      </c>
      <c r="J11" s="2" t="s">
        <v>15</v>
      </c>
      <c r="K11" s="18" t="s">
        <v>27</v>
      </c>
      <c r="L11" s="18" t="s">
        <v>36</v>
      </c>
    </row>
    <row r="12" spans="1:12" ht="12.75">
      <c r="A12" s="1">
        <f>IF(A10="",1,IF(J10&gt;J12,"Error",A10+1))</f>
        <v>3</v>
      </c>
      <c r="B12" s="13">
        <f>D12+(E12/E10)*SQRT(D12^2-F12^2)</f>
        <v>202.23218120274876</v>
      </c>
      <c r="C12" s="3">
        <f>D12+(E10/E12)*SQRT(D12^2-F12^2)</f>
        <v>476.4511325171798</v>
      </c>
      <c r="D12" s="1">
        <v>150</v>
      </c>
      <c r="E12" s="38">
        <f>F33</f>
        <v>0.1</v>
      </c>
      <c r="F12" s="6">
        <f>PI()*E12*E10/$D$2</f>
        <v>73.81561686066243</v>
      </c>
      <c r="G12" s="15">
        <f>G10+B12+C12</f>
        <v>2210.7229834915324</v>
      </c>
      <c r="H12" s="6">
        <f>G10+C12</f>
        <v>2008.4908022887835</v>
      </c>
      <c r="I12" s="6">
        <f>G12/25.4</f>
        <v>87.0363379327375</v>
      </c>
      <c r="J12" s="6">
        <f>H12/25.4</f>
        <v>79.07444103499148</v>
      </c>
      <c r="K12" s="9">
        <f>SQRT(E10^2*(1+(($D$2*C12)/(PI()*E10^2)^2)))</f>
        <v>0.9403864450474633</v>
      </c>
      <c r="L12" s="32">
        <f>J12-J10</f>
        <v>48.47060883421889</v>
      </c>
    </row>
    <row r="13" spans="1:12" ht="12.75">
      <c r="A13" s="2" t="s">
        <v>30</v>
      </c>
      <c r="B13" s="12"/>
      <c r="C13" s="2"/>
      <c r="D13" s="2"/>
      <c r="E13" s="39"/>
      <c r="F13" s="28"/>
      <c r="G13" s="12" t="s">
        <v>13</v>
      </c>
      <c r="H13" s="2"/>
      <c r="I13" s="2" t="s">
        <v>14</v>
      </c>
      <c r="J13" s="2"/>
      <c r="K13" s="18"/>
      <c r="L13" s="18"/>
    </row>
    <row r="14" spans="1:12" ht="12.75">
      <c r="A14" s="1">
        <f>IF(A12="",1,IF(J12&gt;J14,"Error",A12+1))</f>
        <v>4</v>
      </c>
      <c r="B14" s="13"/>
      <c r="C14" s="27">
        <f>C26-G12+G24</f>
        <v>993.3443450571822</v>
      </c>
      <c r="D14" s="3"/>
      <c r="E14" s="41">
        <f>E12</f>
        <v>0.1</v>
      </c>
      <c r="F14" s="6"/>
      <c r="G14" s="15">
        <f>G12</f>
        <v>2210.7229834915324</v>
      </c>
      <c r="H14" s="6">
        <f>G12+C14</f>
        <v>3204.0673285487146</v>
      </c>
      <c r="I14" s="6">
        <f>G14/25.4</f>
        <v>87.0363379327375</v>
      </c>
      <c r="J14" s="6">
        <f>H14/25.4</f>
        <v>126.14438301372893</v>
      </c>
      <c r="K14" s="9">
        <f>SQRT(E12^2*(1+(($D$2*C14)/(PI()*E12^2)^2)))</f>
        <v>3.273961233630844</v>
      </c>
      <c r="L14" s="32">
        <f>J14-J12</f>
        <v>47.06994197873745</v>
      </c>
    </row>
    <row r="17" spans="1:4" ht="12.75">
      <c r="A17" t="s">
        <v>53</v>
      </c>
      <c r="B17">
        <v>0.251</v>
      </c>
      <c r="C17" t="s">
        <v>52</v>
      </c>
      <c r="D17">
        <v>415</v>
      </c>
    </row>
    <row r="19" spans="1:12" ht="12.75">
      <c r="A19" s="2" t="s">
        <v>17</v>
      </c>
      <c r="B19" s="12" t="s">
        <v>12</v>
      </c>
      <c r="C19" s="8"/>
      <c r="D19" s="2"/>
      <c r="E19" s="39" t="s">
        <v>21</v>
      </c>
      <c r="F19" s="2" t="s">
        <v>8</v>
      </c>
      <c r="G19" s="12" t="s">
        <v>13</v>
      </c>
      <c r="H19" s="2"/>
      <c r="I19" s="2" t="s">
        <v>33</v>
      </c>
      <c r="J19" s="2" t="s">
        <v>34</v>
      </c>
      <c r="K19" s="31" t="s">
        <v>27</v>
      </c>
      <c r="L19" s="18" t="s">
        <v>36</v>
      </c>
    </row>
    <row r="20" spans="1:12" ht="12.75">
      <c r="A20" s="1">
        <v>1</v>
      </c>
      <c r="B20" s="13"/>
      <c r="C20" s="9"/>
      <c r="D20" s="3"/>
      <c r="E20" s="40">
        <f>B17</f>
        <v>0.251</v>
      </c>
      <c r="F20" s="3"/>
      <c r="G20" s="14">
        <f>D17-D5</f>
        <v>59</v>
      </c>
      <c r="H20" s="3"/>
      <c r="I20" s="6">
        <f>G20/25.4</f>
        <v>2.3228346456692917</v>
      </c>
      <c r="J20" s="3"/>
      <c r="K20" s="6"/>
      <c r="L20" s="32">
        <f>J20-J18</f>
        <v>0</v>
      </c>
    </row>
    <row r="21" spans="1:12" ht="12.75">
      <c r="A21" s="2" t="s">
        <v>5</v>
      </c>
      <c r="B21" s="12" t="s">
        <v>12</v>
      </c>
      <c r="C21" s="2" t="s">
        <v>11</v>
      </c>
      <c r="D21" s="2" t="s">
        <v>6</v>
      </c>
      <c r="E21" s="39" t="s">
        <v>21</v>
      </c>
      <c r="F21" s="28" t="s">
        <v>8</v>
      </c>
      <c r="G21" s="12" t="s">
        <v>13</v>
      </c>
      <c r="H21" s="2" t="s">
        <v>7</v>
      </c>
      <c r="I21" s="2" t="s">
        <v>14</v>
      </c>
      <c r="J21" s="2" t="s">
        <v>15</v>
      </c>
      <c r="K21" s="18" t="s">
        <v>27</v>
      </c>
      <c r="L21" s="18" t="s">
        <v>36</v>
      </c>
    </row>
    <row r="22" spans="1:12" ht="12.75">
      <c r="A22" s="1">
        <f>IF(A20="",1,IF(J20&gt;J22,"Error",A20+1))</f>
        <v>2</v>
      </c>
      <c r="B22" s="13">
        <f>D22+(E22/E20)*SQRT(D22^2-F22^2)</f>
        <v>767.0916182942415</v>
      </c>
      <c r="C22" s="3">
        <f>D22+(E20/E22)*SQRT(D22^2-F22^2)</f>
        <v>769.9813191064882</v>
      </c>
      <c r="D22" s="1">
        <f>D10</f>
        <v>406.6</v>
      </c>
      <c r="E22" s="38">
        <v>0.25</v>
      </c>
      <c r="F22" s="6">
        <f>PI()*E22*E20/$D$2</f>
        <v>185.2771983202627</v>
      </c>
      <c r="G22" s="15">
        <f>G20+B22+C22</f>
        <v>1596.0729374007296</v>
      </c>
      <c r="H22" s="6">
        <f>G20+C22</f>
        <v>828.9813191064882</v>
      </c>
      <c r="I22" s="6">
        <f>G22/25.4</f>
        <v>62.83751722050117</v>
      </c>
      <c r="J22" s="6">
        <f>H22/25.4</f>
        <v>32.637059807342055</v>
      </c>
      <c r="K22" s="9">
        <f>SQRT(E20^2*(1+(($D$2*C22)/(PI()*E20^2)^2)))</f>
        <v>1.174978222386053</v>
      </c>
      <c r="L22" s="32">
        <f>J22-J20</f>
        <v>32.637059807342055</v>
      </c>
    </row>
    <row r="23" spans="1:12" ht="12.75">
      <c r="A23" s="2" t="s">
        <v>5</v>
      </c>
      <c r="B23" s="12" t="s">
        <v>12</v>
      </c>
      <c r="C23" s="2" t="s">
        <v>11</v>
      </c>
      <c r="D23" s="2" t="s">
        <v>6</v>
      </c>
      <c r="E23" s="39" t="s">
        <v>21</v>
      </c>
      <c r="F23" s="28" t="s">
        <v>8</v>
      </c>
      <c r="G23" s="12" t="s">
        <v>13</v>
      </c>
      <c r="H23" s="2" t="s">
        <v>7</v>
      </c>
      <c r="I23" s="2" t="s">
        <v>14</v>
      </c>
      <c r="J23" s="2" t="s">
        <v>15</v>
      </c>
      <c r="K23" s="18" t="s">
        <v>27</v>
      </c>
      <c r="L23" s="18" t="s">
        <v>36</v>
      </c>
    </row>
    <row r="24" spans="1:12" ht="12.75">
      <c r="A24" s="1">
        <f>IF(A22="",1,IF(J22&gt;J24,"Error",A22+1))</f>
        <v>3</v>
      </c>
      <c r="B24" s="13">
        <f>D24+(E24/E22)*SQRT(D24^2-F24^2)</f>
        <v>208.2765060086966</v>
      </c>
      <c r="C24" s="3">
        <f>D24+(E22/E24)*SQRT(D24^2-F24^2)</f>
        <v>399.7178851392882</v>
      </c>
      <c r="D24" s="1">
        <f>D12</f>
        <v>150</v>
      </c>
      <c r="E24" s="38">
        <f>F33+H33</f>
        <v>0.12077079839156724</v>
      </c>
      <c r="F24" s="6">
        <f>PI()*E24*E22/$D$2</f>
        <v>89.14770982028233</v>
      </c>
      <c r="G24" s="15">
        <f>G22+B24+C24</f>
        <v>2204.0673285487146</v>
      </c>
      <c r="H24" s="6">
        <f>G22+C24</f>
        <v>1995.7908225400179</v>
      </c>
      <c r="I24" s="6">
        <f>G24/25.4</f>
        <v>86.77430427357145</v>
      </c>
      <c r="J24" s="6">
        <f>H24/25.4</f>
        <v>78.57444183228418</v>
      </c>
      <c r="K24" s="9">
        <f>SQRT(E22^2*(1+(($D$2*C24)/(PI()*E22^2)^2)))</f>
        <v>0.8671621039415915</v>
      </c>
      <c r="L24" s="32">
        <f>J24-J22</f>
        <v>45.937382024942124</v>
      </c>
    </row>
    <row r="25" spans="1:12" ht="12.75">
      <c r="A25" s="2" t="s">
        <v>30</v>
      </c>
      <c r="B25" s="12"/>
      <c r="C25" s="2"/>
      <c r="D25" s="2"/>
      <c r="E25" s="39"/>
      <c r="F25" s="28"/>
      <c r="G25" s="12" t="s">
        <v>13</v>
      </c>
      <c r="H25" s="2"/>
      <c r="I25" s="2" t="s">
        <v>14</v>
      </c>
      <c r="J25" s="2"/>
      <c r="K25" s="18"/>
      <c r="L25" s="18"/>
    </row>
    <row r="26" spans="1:12" ht="12.75">
      <c r="A26" s="1">
        <f>IF(A24="",1,IF(J24&gt;J26,"Error",A24+1))</f>
        <v>4</v>
      </c>
      <c r="B26" s="13"/>
      <c r="C26" s="1">
        <v>1000</v>
      </c>
      <c r="D26" s="3"/>
      <c r="E26" s="41">
        <f>E24</f>
        <v>0.12077079839156724</v>
      </c>
      <c r="F26" s="6"/>
      <c r="G26" s="15">
        <f>G24</f>
        <v>2204.0673285487146</v>
      </c>
      <c r="H26" s="6">
        <f>G24+C26</f>
        <v>3204.0673285487146</v>
      </c>
      <c r="I26" s="6">
        <f>G26/25.4</f>
        <v>86.77430427357145</v>
      </c>
      <c r="J26" s="6">
        <f>H26/25.4</f>
        <v>126.14438301372893</v>
      </c>
      <c r="K26" s="9">
        <f>SQRT(E24^2*(1+(($D$2*C26)/(PI()*E24^2)^2)))</f>
        <v>2.7213668546954177</v>
      </c>
      <c r="L26" s="32">
        <f>J26-J24</f>
        <v>47.56994118144475</v>
      </c>
    </row>
    <row r="27" spans="1:12" ht="12.75">
      <c r="A27" s="5"/>
      <c r="B27" s="5"/>
      <c r="C27" s="5"/>
      <c r="D27" s="5"/>
      <c r="E27" s="42"/>
      <c r="F27" s="20"/>
      <c r="G27" s="20"/>
      <c r="H27" s="20"/>
      <c r="I27" s="20"/>
      <c r="J27" s="20"/>
      <c r="K27" s="16"/>
      <c r="L27" s="35"/>
    </row>
    <row r="28" spans="1:12" ht="12.75">
      <c r="A28" s="5"/>
      <c r="B28" s="5"/>
      <c r="C28" s="5"/>
      <c r="D28" s="5"/>
      <c r="E28" s="42"/>
      <c r="F28" s="20"/>
      <c r="G28" s="20"/>
      <c r="H28" s="20"/>
      <c r="I28" s="20"/>
      <c r="J28" s="20"/>
      <c r="K28" s="16"/>
      <c r="L28" s="35"/>
    </row>
    <row r="29" spans="1:8" ht="12.75">
      <c r="A29" t="s">
        <v>37</v>
      </c>
      <c r="B29" t="s">
        <v>41</v>
      </c>
      <c r="C29" t="s">
        <v>42</v>
      </c>
      <c r="E29"/>
      <c r="F29" t="s">
        <v>43</v>
      </c>
      <c r="H29" s="16"/>
    </row>
    <row r="30" spans="1:8" ht="12.75">
      <c r="A30" t="s">
        <v>38</v>
      </c>
      <c r="B30" s="29">
        <f>ABS(J22-J10)</f>
        <v>2.0332276065694685</v>
      </c>
      <c r="C30" s="29">
        <f>AVERAGE(J10,J22)</f>
        <v>31.62044600405732</v>
      </c>
      <c r="D30" s="29"/>
      <c r="E30"/>
      <c r="F30" s="29">
        <f>ABS(J12-J24)</f>
        <v>0.4999992027073006</v>
      </c>
      <c r="H30" s="16"/>
    </row>
    <row r="31" spans="1:8" ht="12.75">
      <c r="A31" t="s">
        <v>13</v>
      </c>
      <c r="B31" s="29">
        <f>ABS(G14-G26)</f>
        <v>6.655654942817819</v>
      </c>
      <c r="C31" s="29">
        <f>AVERAGE(G14,G26)</f>
        <v>2207.3951560201235</v>
      </c>
      <c r="D31" s="29"/>
      <c r="E31"/>
      <c r="H31" s="16"/>
    </row>
    <row r="32" spans="1:8" ht="12.75">
      <c r="A32" t="s">
        <v>40</v>
      </c>
      <c r="B32" s="24">
        <f>ABS(E14-E26)</f>
        <v>0.02077079839156723</v>
      </c>
      <c r="C32" s="24">
        <f>AVERAGE(E14,E26)</f>
        <v>0.11038539919578362</v>
      </c>
      <c r="D32" s="29"/>
      <c r="E32" t="s">
        <v>45</v>
      </c>
      <c r="F32">
        <v>0.10820083127373875</v>
      </c>
      <c r="G32" t="s">
        <v>48</v>
      </c>
      <c r="H32" s="16">
        <v>0.0008485149589507991</v>
      </c>
    </row>
    <row r="33" spans="1:8" ht="12.75">
      <c r="A33" t="s">
        <v>44</v>
      </c>
      <c r="B33">
        <f>K14/K26</f>
        <v>1.2030576575818823</v>
      </c>
      <c r="D33" s="24"/>
      <c r="E33" t="s">
        <v>47</v>
      </c>
      <c r="F33">
        <v>0.1</v>
      </c>
      <c r="G33" t="s">
        <v>49</v>
      </c>
      <c r="H33" s="16">
        <v>0.020770798391567234</v>
      </c>
    </row>
    <row r="34" spans="1:8" ht="12.75">
      <c r="A34" t="s">
        <v>41</v>
      </c>
      <c r="B34" s="29">
        <f>B31+B30+20*B32</f>
        <v>9.104298517218632</v>
      </c>
      <c r="D34" s="16"/>
      <c r="E34" s="16"/>
      <c r="F34" s="16"/>
      <c r="G34" s="16"/>
      <c r="H34" s="16"/>
    </row>
    <row r="35" spans="4:8" ht="12.75">
      <c r="D35" s="16"/>
      <c r="E35" s="16"/>
      <c r="F35" s="16"/>
      <c r="G35" s="16"/>
      <c r="H35" s="16"/>
    </row>
    <row r="37" spans="1:12" ht="12.75">
      <c r="A37" s="2" t="s">
        <v>17</v>
      </c>
      <c r="B37" s="12" t="s">
        <v>12</v>
      </c>
      <c r="C37" s="8"/>
      <c r="D37" s="2"/>
      <c r="E37" s="39" t="s">
        <v>21</v>
      </c>
      <c r="F37" s="28" t="s">
        <v>8</v>
      </c>
      <c r="G37" s="12" t="s">
        <v>13</v>
      </c>
      <c r="H37" s="2"/>
      <c r="I37" s="2" t="s">
        <v>14</v>
      </c>
      <c r="J37" s="2" t="s">
        <v>15</v>
      </c>
      <c r="K37" s="18" t="s">
        <v>27</v>
      </c>
      <c r="L37" s="18" t="s">
        <v>36</v>
      </c>
    </row>
    <row r="38" spans="1:12" ht="12.75">
      <c r="A38" s="1">
        <v>1</v>
      </c>
      <c r="B38" s="13"/>
      <c r="C38" s="9"/>
      <c r="D38" s="3"/>
      <c r="E38" s="40">
        <v>0.46</v>
      </c>
      <c r="F38" s="6"/>
      <c r="G38" s="14">
        <v>0</v>
      </c>
      <c r="H38" s="3"/>
      <c r="I38" s="6">
        <f>G38/25.4</f>
        <v>0</v>
      </c>
      <c r="J38" s="3"/>
      <c r="K38" s="9"/>
      <c r="L38" s="32">
        <v>0</v>
      </c>
    </row>
    <row r="39" spans="1:12" ht="12.75">
      <c r="A39" s="2" t="s">
        <v>5</v>
      </c>
      <c r="B39" s="12" t="s">
        <v>12</v>
      </c>
      <c r="C39" s="2" t="s">
        <v>11</v>
      </c>
      <c r="D39" s="2" t="s">
        <v>6</v>
      </c>
      <c r="E39" s="39" t="s">
        <v>21</v>
      </c>
      <c r="F39" s="28" t="s">
        <v>8</v>
      </c>
      <c r="G39" s="12" t="s">
        <v>13</v>
      </c>
      <c r="H39" s="2" t="s">
        <v>7</v>
      </c>
      <c r="I39" s="2" t="s">
        <v>14</v>
      </c>
      <c r="J39" s="2" t="s">
        <v>15</v>
      </c>
      <c r="K39" s="18" t="s">
        <v>27</v>
      </c>
      <c r="L39" s="18" t="s">
        <v>36</v>
      </c>
    </row>
    <row r="40" spans="1:12" ht="12.75">
      <c r="A40" s="1">
        <f>IF(A38="",1,IF(J38&gt;J40,"Error",A38+1))</f>
        <v>2</v>
      </c>
      <c r="B40" s="13">
        <f>D40+(E40/E38)*SQRT(D40^2-F40^2)</f>
        <v>528.1595890857111</v>
      </c>
      <c r="C40" s="3">
        <f>D40+(E38/E40)*SQRT(D40^2-F40^2)</f>
        <v>818.1521448085834</v>
      </c>
      <c r="D40" s="38">
        <f>D10</f>
        <v>406.6</v>
      </c>
      <c r="E40" s="38">
        <f>E10</f>
        <v>0.25</v>
      </c>
      <c r="F40" s="6">
        <f>PI()*E40*E38/$D$2</f>
        <v>339.55183755904716</v>
      </c>
      <c r="G40" s="15">
        <f>G38+B40+C40</f>
        <v>1346.3117338942945</v>
      </c>
      <c r="H40" s="6">
        <f>G38+C40</f>
        <v>818.1521448085834</v>
      </c>
      <c r="I40" s="6">
        <f>G40/25.4</f>
        <v>53.00439897221632</v>
      </c>
      <c r="J40" s="6">
        <f>H40/25.4</f>
        <v>32.21071436254266</v>
      </c>
      <c r="K40" s="9">
        <f>SQRT(E38^2*(1+(($D$2*C40)/(PI()*E38^2)^2)))</f>
        <v>0.7927365708965177</v>
      </c>
      <c r="L40" s="32">
        <f>J40-J38</f>
        <v>32.21071436254266</v>
      </c>
    </row>
    <row r="41" spans="1:12" ht="12.75">
      <c r="A41" s="2" t="s">
        <v>5</v>
      </c>
      <c r="B41" s="12" t="s">
        <v>12</v>
      </c>
      <c r="C41" s="2" t="s">
        <v>11</v>
      </c>
      <c r="D41" s="2" t="s">
        <v>6</v>
      </c>
      <c r="E41" s="39" t="s">
        <v>21</v>
      </c>
      <c r="F41" s="28" t="s">
        <v>8</v>
      </c>
      <c r="G41" s="12" t="s">
        <v>13</v>
      </c>
      <c r="H41" s="2" t="s">
        <v>7</v>
      </c>
      <c r="I41" s="2" t="s">
        <v>14</v>
      </c>
      <c r="J41" s="2" t="s">
        <v>15</v>
      </c>
      <c r="K41" s="18" t="s">
        <v>27</v>
      </c>
      <c r="L41" s="18" t="s">
        <v>36</v>
      </c>
    </row>
    <row r="42" spans="1:12" ht="12.75">
      <c r="A42" s="1">
        <f>IF(A40="",1,IF(J40&gt;J42,"Error",A40+1))</f>
        <v>3</v>
      </c>
      <c r="B42" s="13">
        <f>D42+(E42/E40)*SQRT(D42^2-F42^2)</f>
        <v>202.23218120274876</v>
      </c>
      <c r="C42" s="3">
        <f>D42+(E40/E42)*SQRT(D42^2-F42^2)</f>
        <v>476.4511325171798</v>
      </c>
      <c r="D42" s="38">
        <f>D12</f>
        <v>150</v>
      </c>
      <c r="E42" s="38">
        <f>E12</f>
        <v>0.1</v>
      </c>
      <c r="F42" s="6">
        <f>PI()*E42*E40/$D$2</f>
        <v>73.81561686066243</v>
      </c>
      <c r="G42" s="15">
        <f>G40+B42+C42</f>
        <v>2024.995047614223</v>
      </c>
      <c r="H42" s="6">
        <f>G40+C42</f>
        <v>1822.7628664114743</v>
      </c>
      <c r="I42" s="6">
        <f>G42/25.4</f>
        <v>79.72421447300091</v>
      </c>
      <c r="J42" s="6">
        <f>H42/25.4</f>
        <v>71.7623175752549</v>
      </c>
      <c r="K42" s="9">
        <f>SQRT(E40^2*(1+(($D$2*C42)/(PI()*E40^2)^2)))</f>
        <v>0.9403864450474633</v>
      </c>
      <c r="L42" s="32">
        <f>J42-J40</f>
        <v>39.55160321271224</v>
      </c>
    </row>
    <row r="43" spans="1:12" ht="12.75">
      <c r="A43" s="2" t="s">
        <v>5</v>
      </c>
      <c r="B43" s="12" t="s">
        <v>12</v>
      </c>
      <c r="C43" s="2" t="s">
        <v>11</v>
      </c>
      <c r="D43" s="2" t="s">
        <v>6</v>
      </c>
      <c r="E43" s="21" t="s">
        <v>21</v>
      </c>
      <c r="F43" s="28" t="s">
        <v>8</v>
      </c>
      <c r="G43" s="12" t="s">
        <v>13</v>
      </c>
      <c r="H43" s="2" t="s">
        <v>7</v>
      </c>
      <c r="I43" s="2" t="s">
        <v>14</v>
      </c>
      <c r="J43" s="2" t="s">
        <v>15</v>
      </c>
      <c r="K43" s="18" t="s">
        <v>27</v>
      </c>
      <c r="L43" s="18" t="s">
        <v>36</v>
      </c>
    </row>
    <row r="44" spans="1:12" ht="12.75">
      <c r="A44" s="1">
        <f>IF(A42="",1,IF(J42&gt;J44,"Error",A42+1))</f>
        <v>4</v>
      </c>
      <c r="B44" s="13">
        <f>D44+(E44/E42)*SQRT(D44^2-F44^2)</f>
        <v>825.948733950557</v>
      </c>
      <c r="C44" s="3">
        <f>D44+(E42/E44)*SQRT(D44^2-F44^2)</f>
        <v>358.4540751608147</v>
      </c>
      <c r="D44" s="1">
        <v>254</v>
      </c>
      <c r="E44" s="23">
        <v>0.234</v>
      </c>
      <c r="F44" s="6">
        <f>PI()*E44*E42/$D$2</f>
        <v>69.09141738158003</v>
      </c>
      <c r="G44" s="15">
        <f>G42+B44+C44</f>
        <v>3209.3978567255945</v>
      </c>
      <c r="H44" s="6">
        <f>G42+C44</f>
        <v>2383.4491227750377</v>
      </c>
      <c r="I44" s="6">
        <f>G44/25.4</f>
        <v>126.35424632777932</v>
      </c>
      <c r="J44" s="6">
        <f>H44/25.4</f>
        <v>93.83657963681252</v>
      </c>
      <c r="K44" s="9">
        <f>SQRT(E42^2*(1+(($D$2*C44)/(PI()*E42^2)^2)))</f>
        <v>1.968334489156325</v>
      </c>
      <c r="L44" s="32">
        <f>J44-J42</f>
        <v>22.07426206155762</v>
      </c>
    </row>
    <row r="45" spans="1:12" ht="12.75">
      <c r="A45" s="2" t="s">
        <v>29</v>
      </c>
      <c r="B45" s="12" t="s">
        <v>12</v>
      </c>
      <c r="C45" s="2" t="s">
        <v>11</v>
      </c>
      <c r="D45" s="2" t="s">
        <v>6</v>
      </c>
      <c r="E45" s="21" t="s">
        <v>21</v>
      </c>
      <c r="F45" s="28" t="s">
        <v>8</v>
      </c>
      <c r="G45" s="12" t="s">
        <v>13</v>
      </c>
      <c r="H45" s="2" t="s">
        <v>7</v>
      </c>
      <c r="I45" s="2" t="s">
        <v>33</v>
      </c>
      <c r="J45" s="2" t="s">
        <v>34</v>
      </c>
      <c r="K45" s="31" t="s">
        <v>27</v>
      </c>
      <c r="L45" s="18" t="s">
        <v>36</v>
      </c>
    </row>
    <row r="46" spans="1:12" ht="12.75">
      <c r="A46" s="1">
        <f>IF(A44="",1,IF(J44&gt;J46,"Error",A44+1))</f>
        <v>5</v>
      </c>
      <c r="B46" s="13">
        <f>D46+(E46/E44)*SQRT(D46^2-F46^2)</f>
        <v>915.1295686212104</v>
      </c>
      <c r="C46" s="3">
        <f>D46+(E44/E46)*SQRT(D46^2-F46^2)</f>
        <v>586.0099488492186</v>
      </c>
      <c r="D46" s="1">
        <v>406.6</v>
      </c>
      <c r="E46" s="22">
        <f>E48</f>
        <v>0.3939587051145029</v>
      </c>
      <c r="F46" s="6">
        <f>PI()*E46*E44/$D$2</f>
        <v>272.1916532617293</v>
      </c>
      <c r="G46" s="15">
        <f>G44+B46+C46</f>
        <v>4710.537374196024</v>
      </c>
      <c r="H46" s="6">
        <f>G44+C46</f>
        <v>3795.407805574813</v>
      </c>
      <c r="I46" s="6">
        <f>G46/25.4</f>
        <v>185.45422733055213</v>
      </c>
      <c r="J46" s="6">
        <f>H46/25.4</f>
        <v>149.42550415648873</v>
      </c>
      <c r="K46" s="32">
        <f>SQRT(E44^2*(1+(($D$2*C46)/(PI()*E44^2)^2)))</f>
        <v>1.0993248594274727</v>
      </c>
      <c r="L46" s="32">
        <f>J46-J44</f>
        <v>55.58892451967621</v>
      </c>
    </row>
    <row r="47" spans="1:12" ht="12.75">
      <c r="A47" s="2" t="s">
        <v>35</v>
      </c>
      <c r="B47" s="12" t="s">
        <v>12</v>
      </c>
      <c r="C47" s="2" t="s">
        <v>31</v>
      </c>
      <c r="D47" s="2" t="s">
        <v>28</v>
      </c>
      <c r="E47" s="21" t="s">
        <v>21</v>
      </c>
      <c r="F47" s="28"/>
      <c r="G47" s="12" t="s">
        <v>13</v>
      </c>
      <c r="H47" s="2" t="s">
        <v>7</v>
      </c>
      <c r="I47" s="2" t="s">
        <v>33</v>
      </c>
      <c r="J47" s="2" t="s">
        <v>34</v>
      </c>
      <c r="K47" s="31"/>
      <c r="L47" s="18" t="s">
        <v>36</v>
      </c>
    </row>
    <row r="48" spans="1:12" ht="12.75">
      <c r="A48" s="1">
        <f>IF(A46="",1,IF(J46&gt;J48,"Error",A46+1))</f>
        <v>6</v>
      </c>
      <c r="B48" s="15"/>
      <c r="C48" s="1">
        <v>300</v>
      </c>
      <c r="D48" s="1">
        <v>1000</v>
      </c>
      <c r="E48" s="22">
        <f>SQRT(($D$2/(2*PI()))*2*SQRT(C48*(D48-C48)))</f>
        <v>0.3939587051145029</v>
      </c>
      <c r="F48" s="6"/>
      <c r="G48" s="15">
        <f>G46</f>
        <v>4710.537374196024</v>
      </c>
      <c r="H48" s="6">
        <f>G48-C48</f>
        <v>4410.537374196024</v>
      </c>
      <c r="I48" s="6">
        <f>G48/25.4</f>
        <v>185.45422733055213</v>
      </c>
      <c r="J48" s="6">
        <f>H48/25.4</f>
        <v>173.6432037085049</v>
      </c>
      <c r="K48" s="32">
        <f>SQRT(E46^2*(1+(($D$2*C48/2)/(PI()*E46^2)^2)))</f>
        <v>0.5093081867022407</v>
      </c>
      <c r="L48" s="32">
        <f>J48-J46</f>
        <v>24.21769955201617</v>
      </c>
    </row>
  </sheetData>
  <mergeCells count="1">
    <mergeCell ref="A1:B3"/>
  </mergeCells>
  <printOptions/>
  <pageMargins left="0.25" right="0.25" top="0.25" bottom="0.44" header="0.25" footer="0.3"/>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codeName="Sheet1"/>
  <dimension ref="A1:L54"/>
  <sheetViews>
    <sheetView zoomScaleSheetLayoutView="150" workbookViewId="0" topLeftCell="A4">
      <selection activeCell="E19" sqref="E19"/>
    </sheetView>
  </sheetViews>
  <sheetFormatPr defaultColWidth="9.140625" defaultRowHeight="12.75"/>
  <cols>
    <col min="3" max="3" width="8.421875" style="0" customWidth="1"/>
    <col min="5" max="5" width="9.28125" style="37" customWidth="1"/>
    <col min="6" max="6" width="7.7109375" style="0" customWidth="1"/>
  </cols>
  <sheetData>
    <row r="1" spans="1:9" ht="12.75">
      <c r="A1" s="68" t="s">
        <v>20</v>
      </c>
      <c r="B1" s="68"/>
      <c r="D1" s="1"/>
      <c r="E1" s="38"/>
      <c r="F1" s="10"/>
      <c r="G1" s="10"/>
      <c r="H1" s="10"/>
      <c r="I1" s="1"/>
    </row>
    <row r="2" spans="1:9" ht="12.75">
      <c r="A2" s="68"/>
      <c r="B2" s="68"/>
      <c r="C2" s="1" t="s">
        <v>1</v>
      </c>
      <c r="D2" s="1">
        <v>0.001064</v>
      </c>
      <c r="E2" s="38" t="s">
        <v>3</v>
      </c>
      <c r="F2" s="10"/>
      <c r="G2" s="10"/>
      <c r="H2" s="10"/>
      <c r="I2" s="1"/>
    </row>
    <row r="3" spans="1:9" ht="12.75">
      <c r="A3" s="68"/>
      <c r="B3" s="68"/>
      <c r="F3" s="1"/>
      <c r="G3" s="1"/>
      <c r="H3" s="1"/>
      <c r="I3" s="1"/>
    </row>
    <row r="4" spans="1:9" ht="12.75">
      <c r="A4" s="33"/>
      <c r="B4" s="33"/>
      <c r="F4" s="36"/>
      <c r="G4" s="1"/>
      <c r="H4" s="1"/>
      <c r="I4" s="1"/>
    </row>
    <row r="5" spans="1:9" ht="12.75">
      <c r="A5" s="34" t="s">
        <v>51</v>
      </c>
      <c r="B5" s="33">
        <v>0.258</v>
      </c>
      <c r="C5" t="s">
        <v>52</v>
      </c>
      <c r="D5">
        <v>356</v>
      </c>
      <c r="F5" s="1"/>
      <c r="G5" s="1"/>
      <c r="H5" s="1"/>
      <c r="I5" s="1"/>
    </row>
    <row r="6" spans="1:9" ht="12.75">
      <c r="A6" s="33"/>
      <c r="B6" s="33"/>
      <c r="F6" s="1"/>
      <c r="G6" s="1"/>
      <c r="H6" s="1"/>
      <c r="I6" s="1"/>
    </row>
    <row r="7" spans="1:12" ht="12.75">
      <c r="A7" s="2" t="s">
        <v>17</v>
      </c>
      <c r="B7" s="12" t="s">
        <v>12</v>
      </c>
      <c r="C7" s="8"/>
      <c r="D7" s="2"/>
      <c r="E7" s="39" t="s">
        <v>21</v>
      </c>
      <c r="F7" s="2" t="s">
        <v>8</v>
      </c>
      <c r="G7" s="12" t="s">
        <v>13</v>
      </c>
      <c r="H7" s="2"/>
      <c r="I7" s="2" t="s">
        <v>33</v>
      </c>
      <c r="J7" s="2" t="s">
        <v>34</v>
      </c>
      <c r="K7" s="31" t="s">
        <v>27</v>
      </c>
      <c r="L7" s="18" t="s">
        <v>36</v>
      </c>
    </row>
    <row r="8" spans="1:12" ht="12.75">
      <c r="A8" s="1">
        <v>1</v>
      </c>
      <c r="B8" s="13"/>
      <c r="C8" s="9"/>
      <c r="D8" s="3"/>
      <c r="E8" s="40">
        <f>B5</f>
        <v>0.258</v>
      </c>
      <c r="F8" s="3"/>
      <c r="G8" s="14">
        <v>0</v>
      </c>
      <c r="H8" s="3"/>
      <c r="I8" s="6">
        <f>G8/25.4</f>
        <v>0</v>
      </c>
      <c r="J8" s="3"/>
      <c r="K8" s="6"/>
      <c r="L8" s="32">
        <f>J8-J6</f>
        <v>0</v>
      </c>
    </row>
    <row r="9" spans="1:12" ht="12.75">
      <c r="A9" s="2" t="s">
        <v>5</v>
      </c>
      <c r="B9" s="12" t="s">
        <v>12</v>
      </c>
      <c r="C9" s="2" t="s">
        <v>11</v>
      </c>
      <c r="D9" s="2" t="s">
        <v>6</v>
      </c>
      <c r="E9" s="39" t="s">
        <v>21</v>
      </c>
      <c r="F9" s="28" t="s">
        <v>8</v>
      </c>
      <c r="G9" s="12" t="s">
        <v>13</v>
      </c>
      <c r="H9" s="2" t="s">
        <v>7</v>
      </c>
      <c r="I9" s="2" t="s">
        <v>14</v>
      </c>
      <c r="J9" s="2" t="s">
        <v>15</v>
      </c>
      <c r="K9" s="18" t="s">
        <v>27</v>
      </c>
      <c r="L9" s="18" t="s">
        <v>36</v>
      </c>
    </row>
    <row r="10" spans="1:12" ht="12.75">
      <c r="A10" s="1">
        <f>IF(A8="",1,IF(J8&gt;J10,"Error",A8+1))</f>
        <v>2</v>
      </c>
      <c r="B10" s="13">
        <f>D10+(E10/E8)*SQRT(D10^2-F10^2)</f>
        <v>347.91766040270346</v>
      </c>
      <c r="C10" s="3">
        <f>D10+(E8/E10)*SQRT(D10^2-F10^2)</f>
        <v>879.1535147045572</v>
      </c>
      <c r="D10" s="1">
        <v>254</v>
      </c>
      <c r="E10" s="38">
        <f>F36+H36</f>
        <v>0.09999999999999985</v>
      </c>
      <c r="F10" s="6">
        <f>PI()*E10*E8/$D$2</f>
        <v>76.17771660020352</v>
      </c>
      <c r="G10" s="15">
        <f>G8+B10+C10</f>
        <v>1227.0711751072606</v>
      </c>
      <c r="H10" s="6">
        <f>G8+C10</f>
        <v>879.1535147045572</v>
      </c>
      <c r="I10" s="6">
        <f>G10/25.4</f>
        <v>48.309888783750424</v>
      </c>
      <c r="J10" s="6">
        <f>H10/25.4</f>
        <v>34.61234309860462</v>
      </c>
      <c r="K10" s="9">
        <f>SQRT(E8^2*(1+(($D$2*C10)/(PI()*E8^2)^2)))</f>
        <v>1.2208290889004478</v>
      </c>
      <c r="L10" s="32">
        <f>J10-J8</f>
        <v>34.61234309860462</v>
      </c>
    </row>
    <row r="11" spans="1:12" ht="12.75">
      <c r="A11" s="2" t="s">
        <v>5</v>
      </c>
      <c r="B11" s="12" t="s">
        <v>12</v>
      </c>
      <c r="C11" s="2" t="s">
        <v>11</v>
      </c>
      <c r="D11" s="2" t="s">
        <v>6</v>
      </c>
      <c r="E11" s="39" t="s">
        <v>21</v>
      </c>
      <c r="F11" s="28" t="s">
        <v>8</v>
      </c>
      <c r="G11" s="12" t="s">
        <v>13</v>
      </c>
      <c r="H11" s="2" t="s">
        <v>7</v>
      </c>
      <c r="I11" s="2" t="s">
        <v>14</v>
      </c>
      <c r="J11" s="2" t="s">
        <v>15</v>
      </c>
      <c r="K11" s="18" t="s">
        <v>27</v>
      </c>
      <c r="L11" s="18" t="s">
        <v>36</v>
      </c>
    </row>
    <row r="12" spans="1:12" ht="12.75">
      <c r="A12" s="1">
        <f>IF(A10="",1,IF(J10&gt;J12,"Error",A10+1))</f>
        <v>3</v>
      </c>
      <c r="B12" s="13">
        <f>D12+(E12/E10)*SQRT(D12^2-F12^2)</f>
        <v>854.3486738307959</v>
      </c>
      <c r="C12" s="3">
        <f>D12+(E10/E12)*SQRT(D12^2-F12^2)</f>
        <v>352.62464920257804</v>
      </c>
      <c r="D12" s="1">
        <v>254</v>
      </c>
      <c r="E12" s="38">
        <f>F37+H37</f>
        <v>0.24672266192932885</v>
      </c>
      <c r="F12" s="6">
        <f>PI()*E12*E10/$D$2</f>
        <v>72.84794193527222</v>
      </c>
      <c r="G12" s="15">
        <f>G10+B12+C12</f>
        <v>2434.0444981406345</v>
      </c>
      <c r="H12" s="6">
        <f>G10+C12</f>
        <v>1579.6958243098386</v>
      </c>
      <c r="I12" s="6">
        <f>G12/25.4</f>
        <v>95.82852354884388</v>
      </c>
      <c r="J12" s="6">
        <f>H12/25.4</f>
        <v>62.19274898857633</v>
      </c>
      <c r="K12" s="9">
        <f>SQRT(E10^2*(1+(($D$2*C12)/(PI()*E10^2)^2)))</f>
        <v>1.952305330534758</v>
      </c>
      <c r="L12" s="32">
        <f>J12-J10</f>
        <v>27.580405889971708</v>
      </c>
    </row>
    <row r="13" spans="1:12" ht="12.75">
      <c r="A13" s="2" t="s">
        <v>5</v>
      </c>
      <c r="B13" s="12" t="s">
        <v>12</v>
      </c>
      <c r="C13" s="2" t="s">
        <v>11</v>
      </c>
      <c r="D13" s="2" t="s">
        <v>6</v>
      </c>
      <c r="E13" s="39" t="s">
        <v>21</v>
      </c>
      <c r="F13" s="28" t="s">
        <v>8</v>
      </c>
      <c r="G13" s="12" t="s">
        <v>13</v>
      </c>
      <c r="H13" s="2" t="s">
        <v>7</v>
      </c>
      <c r="I13" s="2" t="s">
        <v>14</v>
      </c>
      <c r="J13" s="2" t="s">
        <v>15</v>
      </c>
      <c r="K13" s="18" t="s">
        <v>27</v>
      </c>
      <c r="L13" s="18" t="s">
        <v>36</v>
      </c>
    </row>
    <row r="14" spans="1:12" ht="12.75">
      <c r="A14" s="1">
        <f>IF(A12="",1,IF(J12&gt;J14,"Error",A12+1))</f>
        <v>4</v>
      </c>
      <c r="B14" s="13">
        <f>D14+(E14/E12)*SQRT(D14^2-F14^2)</f>
        <v>212.19525891574256</v>
      </c>
      <c r="C14" s="3">
        <f>D14+(E12/E14)*SQRT(D14^2-F14^2)</f>
        <v>310.52139121308505</v>
      </c>
      <c r="D14" s="1">
        <v>150</v>
      </c>
      <c r="E14" s="38">
        <f>F38+H38</f>
        <v>0.15357524774920492</v>
      </c>
      <c r="F14" s="6">
        <f>PI()*E14*E12/$D$2</f>
        <v>111.87640730729143</v>
      </c>
      <c r="G14" s="15">
        <f>G12+B14+C14</f>
        <v>2956.761148269462</v>
      </c>
      <c r="H14" s="6">
        <f>G12+C14</f>
        <v>2744.5658893537193</v>
      </c>
      <c r="I14" s="6">
        <f>G14/25.4</f>
        <v>116.40791922320717</v>
      </c>
      <c r="J14" s="6">
        <f>H14/25.4</f>
        <v>108.05377517140627</v>
      </c>
      <c r="K14" s="9">
        <f>SQRT(E12^2*(1+(($D$2*C14)/(PI()*E12^2)^2)))</f>
        <v>0.7815446804550444</v>
      </c>
      <c r="L14" s="32">
        <f>J14-J12</f>
        <v>45.861026182829946</v>
      </c>
    </row>
    <row r="15" spans="1:12" ht="12.75">
      <c r="A15" s="2" t="s">
        <v>30</v>
      </c>
      <c r="B15" s="12"/>
      <c r="C15" s="2"/>
      <c r="D15" s="2"/>
      <c r="E15" s="39"/>
      <c r="F15" s="28"/>
      <c r="G15" s="12" t="s">
        <v>13</v>
      </c>
      <c r="H15" s="2"/>
      <c r="I15" s="2" t="s">
        <v>14</v>
      </c>
      <c r="J15" s="2"/>
      <c r="K15" s="18"/>
      <c r="L15" s="18"/>
    </row>
    <row r="16" spans="1:12" ht="12.75">
      <c r="A16" s="1">
        <f>IF(A14="",1,IF(J14&gt;J16,"Error",A14+1))</f>
        <v>5</v>
      </c>
      <c r="B16" s="13"/>
      <c r="C16" s="27">
        <f>C30-G14+G28</f>
        <v>999.9999309772838</v>
      </c>
      <c r="D16" s="3"/>
      <c r="E16" s="41">
        <f>E14</f>
        <v>0.15357524774920492</v>
      </c>
      <c r="F16" s="6"/>
      <c r="G16" s="15">
        <f>G14</f>
        <v>2956.761148269462</v>
      </c>
      <c r="H16" s="6">
        <f>G14+C16</f>
        <v>3956.761079246746</v>
      </c>
      <c r="I16" s="6">
        <f>G16/25.4</f>
        <v>116.40791922320717</v>
      </c>
      <c r="J16" s="6">
        <f>H16/25.4</f>
        <v>155.77799524593487</v>
      </c>
      <c r="K16" s="9">
        <f>SQRT(E14^2*(1+(($D$2*C16)/(PI()*E14^2)^2)))</f>
        <v>2.1434693778271026</v>
      </c>
      <c r="L16" s="32">
        <f>J16-J14</f>
        <v>47.7242200745286</v>
      </c>
    </row>
    <row r="19" spans="1:4" ht="12.75">
      <c r="A19" t="s">
        <v>53</v>
      </c>
      <c r="B19">
        <v>0.251</v>
      </c>
      <c r="C19" t="s">
        <v>52</v>
      </c>
      <c r="D19">
        <v>415</v>
      </c>
    </row>
    <row r="21" spans="1:12" ht="12.75">
      <c r="A21" s="2" t="s">
        <v>17</v>
      </c>
      <c r="B21" s="12" t="s">
        <v>12</v>
      </c>
      <c r="C21" s="8"/>
      <c r="D21" s="2"/>
      <c r="E21" s="39" t="s">
        <v>21</v>
      </c>
      <c r="F21" s="2" t="s">
        <v>8</v>
      </c>
      <c r="G21" s="12" t="s">
        <v>13</v>
      </c>
      <c r="H21" s="2"/>
      <c r="I21" s="2" t="s">
        <v>33</v>
      </c>
      <c r="J21" s="2" t="s">
        <v>34</v>
      </c>
      <c r="K21" s="31" t="s">
        <v>27</v>
      </c>
      <c r="L21" s="18" t="s">
        <v>36</v>
      </c>
    </row>
    <row r="22" spans="1:12" ht="12.75">
      <c r="A22" s="1">
        <v>1</v>
      </c>
      <c r="B22" s="13"/>
      <c r="C22" s="9"/>
      <c r="D22" s="3"/>
      <c r="E22" s="40">
        <f>B19</f>
        <v>0.251</v>
      </c>
      <c r="F22" s="3"/>
      <c r="G22" s="14">
        <f>D19-D5</f>
        <v>59</v>
      </c>
      <c r="H22" s="3"/>
      <c r="I22" s="6">
        <f>G22/25.4</f>
        <v>2.3228346456692917</v>
      </c>
      <c r="J22" s="3"/>
      <c r="K22" s="6"/>
      <c r="L22" s="32">
        <f>J22-J20</f>
        <v>0</v>
      </c>
    </row>
    <row r="23" spans="1:12" ht="12.75">
      <c r="A23" s="2" t="s">
        <v>5</v>
      </c>
      <c r="B23" s="12" t="s">
        <v>12</v>
      </c>
      <c r="C23" s="2" t="s">
        <v>11</v>
      </c>
      <c r="D23" s="2" t="s">
        <v>6</v>
      </c>
      <c r="E23" s="39" t="s">
        <v>21</v>
      </c>
      <c r="F23" s="28" t="s">
        <v>8</v>
      </c>
      <c r="G23" s="12" t="s">
        <v>13</v>
      </c>
      <c r="H23" s="2" t="s">
        <v>7</v>
      </c>
      <c r="I23" s="2" t="s">
        <v>14</v>
      </c>
      <c r="J23" s="2" t="s">
        <v>15</v>
      </c>
      <c r="K23" s="18" t="s">
        <v>27</v>
      </c>
      <c r="L23" s="18" t="s">
        <v>36</v>
      </c>
    </row>
    <row r="24" spans="1:12" ht="12.75">
      <c r="A24" s="1">
        <f>IF(A22="",1,IF(J22&gt;J24,"Error",A22+1))</f>
        <v>2</v>
      </c>
      <c r="B24" s="13">
        <f>D24+(E24/E22)*SQRT(D24^2-F24^2)</f>
        <v>356.06993892113803</v>
      </c>
      <c r="C24" s="3">
        <f>D24+(E22/E24)*SQRT(D24^2-F24^2)</f>
        <v>825.5324970894377</v>
      </c>
      <c r="D24" s="1">
        <f>D10</f>
        <v>254</v>
      </c>
      <c r="E24" s="38">
        <f>F36</f>
        <v>0.10607234845957449</v>
      </c>
      <c r="F24" s="6">
        <f>PI()*E24*E22/$D$2</f>
        <v>78.61115016736238</v>
      </c>
      <c r="G24" s="15">
        <f>G22+B24+C24</f>
        <v>1240.6024360105757</v>
      </c>
      <c r="H24" s="6">
        <f>G22+C24</f>
        <v>884.5324970894377</v>
      </c>
      <c r="I24" s="6">
        <f>G24/25.4</f>
        <v>48.842615590967554</v>
      </c>
      <c r="J24" s="6">
        <f>H24/25.4</f>
        <v>34.82411405863928</v>
      </c>
      <c r="K24" s="9">
        <f>SQRT(E22^2*(1+(($D$2*C24)/(PI()*E22^2)^2)))</f>
        <v>1.2147557832363238</v>
      </c>
      <c r="L24" s="32">
        <f>J24-J22</f>
        <v>34.82411405863928</v>
      </c>
    </row>
    <row r="25" spans="1:12" ht="12.75">
      <c r="A25" s="2" t="s">
        <v>5</v>
      </c>
      <c r="B25" s="12" t="s">
        <v>12</v>
      </c>
      <c r="C25" s="2" t="s">
        <v>11</v>
      </c>
      <c r="D25" s="2" t="s">
        <v>6</v>
      </c>
      <c r="E25" s="39" t="s">
        <v>21</v>
      </c>
      <c r="F25" s="28" t="s">
        <v>8</v>
      </c>
      <c r="G25" s="12" t="s">
        <v>13</v>
      </c>
      <c r="H25" s="2" t="s">
        <v>7</v>
      </c>
      <c r="I25" s="2" t="s">
        <v>14</v>
      </c>
      <c r="J25" s="2" t="s">
        <v>15</v>
      </c>
      <c r="K25" s="18" t="s">
        <v>27</v>
      </c>
      <c r="L25" s="18" t="s">
        <v>36</v>
      </c>
    </row>
    <row r="26" spans="1:12" ht="12.75">
      <c r="A26" s="1">
        <f>IF(A24="",1,IF(J24&gt;J26,"Error",A24+1))</f>
        <v>3</v>
      </c>
      <c r="B26" s="13">
        <f>D26+(E26/E24)*SQRT(D26^2-F26^2)</f>
        <v>915.4671829256757</v>
      </c>
      <c r="C26" s="3">
        <f>D26+(E24/E26)*SQRT(D26^2-F26^2)</f>
        <v>338.4691653167903</v>
      </c>
      <c r="D26" s="1">
        <f>D12</f>
        <v>254</v>
      </c>
      <c r="E26" s="38">
        <f>F37</f>
        <v>0.2968296187392872</v>
      </c>
      <c r="F26" s="6">
        <f>PI()*E26*E24/$D$2</f>
        <v>92.96461248141445</v>
      </c>
      <c r="G26" s="15">
        <f>G24+B26+C26</f>
        <v>2494.5387842530417</v>
      </c>
      <c r="H26" s="6">
        <f>G24+C26</f>
        <v>1579.071601327366</v>
      </c>
      <c r="I26" s="6">
        <f>G26/25.4</f>
        <v>98.21018835641897</v>
      </c>
      <c r="J26" s="6">
        <f>H26/25.4</f>
        <v>62.16817328060496</v>
      </c>
      <c r="K26" s="9">
        <f>SQRT(E24^2*(1+(($D$2*C26)/(PI()*E24^2)^2)))</f>
        <v>1.8039743886846662</v>
      </c>
      <c r="L26" s="32">
        <f>J26-J24</f>
        <v>27.34405922196568</v>
      </c>
    </row>
    <row r="27" spans="1:12" ht="12.75">
      <c r="A27" s="2" t="s">
        <v>5</v>
      </c>
      <c r="B27" s="12" t="s">
        <v>12</v>
      </c>
      <c r="C27" s="2" t="s">
        <v>11</v>
      </c>
      <c r="D27" s="2" t="s">
        <v>6</v>
      </c>
      <c r="E27" s="39" t="s">
        <v>21</v>
      </c>
      <c r="F27" s="28" t="s">
        <v>8</v>
      </c>
      <c r="G27" s="12" t="s">
        <v>13</v>
      </c>
      <c r="H27" s="2" t="s">
        <v>7</v>
      </c>
      <c r="I27" s="2" t="s">
        <v>14</v>
      </c>
      <c r="J27" s="2" t="s">
        <v>15</v>
      </c>
      <c r="K27" s="18" t="s">
        <v>27</v>
      </c>
      <c r="L27" s="18" t="s">
        <v>36</v>
      </c>
    </row>
    <row r="28" spans="1:12" ht="12.75">
      <c r="A28" s="1">
        <f>IF(A26="",1,IF(J26&gt;J28,"Error",A26+1))</f>
        <v>4</v>
      </c>
      <c r="B28" s="13">
        <f>D28+(E28/E26)*SQRT(D28^2-F28^2)</f>
        <v>184.25518657588117</v>
      </c>
      <c r="C28" s="3">
        <f>D28+(E26/E28)*SQRT(D28^2-F28^2)</f>
        <v>277.9671084178228</v>
      </c>
      <c r="D28" s="1">
        <f>D14</f>
        <v>150</v>
      </c>
      <c r="E28" s="38">
        <f>F38</f>
        <v>0.15357524774920492</v>
      </c>
      <c r="F28" s="6">
        <f>PI()*E28*E26/$D$2</f>
        <v>134.59741017408717</v>
      </c>
      <c r="G28" s="15">
        <f>G26+B28+C28</f>
        <v>2956.761079246746</v>
      </c>
      <c r="H28" s="6">
        <f>G26+C28</f>
        <v>2772.5058926708643</v>
      </c>
      <c r="I28" s="6">
        <f>G28/25.4</f>
        <v>116.4079165057774</v>
      </c>
      <c r="J28" s="6">
        <f>H28/25.4</f>
        <v>109.15377530200254</v>
      </c>
      <c r="K28" s="9">
        <f>SQRT(E26^2*(1+(($D$2*C28)/(PI()*E26^2)^2)))</f>
        <v>0.6543843948243925</v>
      </c>
      <c r="L28" s="32">
        <f>J28-J26</f>
        <v>46.98560202139758</v>
      </c>
    </row>
    <row r="29" spans="1:12" ht="12.75">
      <c r="A29" s="2" t="s">
        <v>30</v>
      </c>
      <c r="B29" s="12"/>
      <c r="C29" s="2"/>
      <c r="D29" s="2"/>
      <c r="E29" s="39"/>
      <c r="F29" s="28"/>
      <c r="G29" s="12" t="s">
        <v>13</v>
      </c>
      <c r="H29" s="2"/>
      <c r="I29" s="2" t="s">
        <v>14</v>
      </c>
      <c r="J29" s="2"/>
      <c r="K29" s="18"/>
      <c r="L29" s="18"/>
    </row>
    <row r="30" spans="1:12" ht="12.75">
      <c r="A30" s="1">
        <f>IF(A28="",1,IF(J28&gt;J30,"Error",A28+1))</f>
        <v>5</v>
      </c>
      <c r="B30" s="13"/>
      <c r="C30" s="1">
        <v>1000</v>
      </c>
      <c r="D30" s="3"/>
      <c r="E30" s="41">
        <f>E28</f>
        <v>0.15357524774920492</v>
      </c>
      <c r="F30" s="6"/>
      <c r="G30" s="15">
        <f>G28</f>
        <v>2956.761079246746</v>
      </c>
      <c r="H30" s="6">
        <f>G28+C30</f>
        <v>3956.761079246746</v>
      </c>
      <c r="I30" s="6">
        <f>G30/25.4</f>
        <v>116.4079165057774</v>
      </c>
      <c r="J30" s="6">
        <f>H30/25.4</f>
        <v>155.77799524593487</v>
      </c>
      <c r="K30" s="9">
        <f>SQRT(E28^2*(1+(($D$2*C30)/(PI()*E28^2)^2)))</f>
        <v>2.1434694514214048</v>
      </c>
      <c r="L30" s="32">
        <f>J30-J28</f>
        <v>46.62421994393233</v>
      </c>
    </row>
    <row r="31" spans="1:12" ht="12.75">
      <c r="A31" s="5"/>
      <c r="B31" s="5"/>
      <c r="C31" s="5"/>
      <c r="D31" s="5"/>
      <c r="E31" s="42"/>
      <c r="F31" s="20"/>
      <c r="G31" s="20"/>
      <c r="H31" s="20"/>
      <c r="I31" s="20"/>
      <c r="J31" s="20"/>
      <c r="K31" s="16"/>
      <c r="L31" s="35"/>
    </row>
    <row r="32" spans="1:12" ht="12.75">
      <c r="A32" s="5"/>
      <c r="B32" s="5"/>
      <c r="C32" s="5"/>
      <c r="D32" s="5"/>
      <c r="E32" s="42"/>
      <c r="F32" s="20"/>
      <c r="G32" s="20"/>
      <c r="H32" s="20"/>
      <c r="I32" s="20"/>
      <c r="J32" s="20"/>
      <c r="K32" s="16"/>
      <c r="L32" s="35"/>
    </row>
    <row r="33" spans="1:8" ht="12.75">
      <c r="A33" t="s">
        <v>37</v>
      </c>
      <c r="B33" t="s">
        <v>41</v>
      </c>
      <c r="C33" t="s">
        <v>42</v>
      </c>
      <c r="E33"/>
      <c r="F33" t="s">
        <v>43</v>
      </c>
      <c r="H33" s="16"/>
    </row>
    <row r="34" spans="1:8" ht="12.75">
      <c r="A34" t="s">
        <v>38</v>
      </c>
      <c r="B34" s="29">
        <f>ABS(J24-J10)</f>
        <v>0.2117709600346629</v>
      </c>
      <c r="C34" s="29">
        <f>AVERAGE(J10,J24)</f>
        <v>34.71822857862195</v>
      </c>
      <c r="D34" s="29"/>
      <c r="E34"/>
      <c r="F34" s="29">
        <f>ABS(J14-J28)</f>
        <v>1.1000001305962712</v>
      </c>
      <c r="H34" s="16"/>
    </row>
    <row r="35" spans="1:8" ht="12.75">
      <c r="A35" t="s">
        <v>39</v>
      </c>
      <c r="B35" s="29">
        <f>ABS(J12-J26)</f>
        <v>0.024575707971365546</v>
      </c>
      <c r="C35" s="29">
        <f>AVERAGE(J12,J26)</f>
        <v>62.180461134590644</v>
      </c>
      <c r="D35" s="29"/>
      <c r="E35"/>
      <c r="H35" s="16"/>
    </row>
    <row r="36" spans="1:8" ht="12.75">
      <c r="A36" t="s">
        <v>13</v>
      </c>
      <c r="B36" s="29">
        <f>ABS(G14-G28)</f>
        <v>6.902271616127109E-05</v>
      </c>
      <c r="C36" s="29">
        <f>AVERAGE(G14,G28)</f>
        <v>2956.761113758104</v>
      </c>
      <c r="D36" s="29"/>
      <c r="E36" t="s">
        <v>45</v>
      </c>
      <c r="F36">
        <v>0.10607234845957449</v>
      </c>
      <c r="G36" t="s">
        <v>48</v>
      </c>
      <c r="H36" s="16">
        <v>-0.006072348459574631</v>
      </c>
    </row>
    <row r="37" spans="1:8" ht="12.75">
      <c r="A37" t="s">
        <v>40</v>
      </c>
      <c r="B37" s="24">
        <f>ABS(E14-E28)</f>
        <v>0</v>
      </c>
      <c r="C37" s="24">
        <f>AVERAGE(E14,E28)</f>
        <v>0.15357524774920492</v>
      </c>
      <c r="D37" s="24"/>
      <c r="E37" t="s">
        <v>47</v>
      </c>
      <c r="F37">
        <v>0.2968296187392872</v>
      </c>
      <c r="G37" t="s">
        <v>49</v>
      </c>
      <c r="H37" s="16">
        <v>-0.050106956809958345</v>
      </c>
    </row>
    <row r="38" spans="1:8" ht="12.75">
      <c r="A38" t="s">
        <v>44</v>
      </c>
      <c r="B38">
        <f>K16/K30</f>
        <v>0.9999999656658031</v>
      </c>
      <c r="D38" s="16"/>
      <c r="E38" s="16" t="s">
        <v>46</v>
      </c>
      <c r="F38" s="16">
        <v>0.15357524774920492</v>
      </c>
      <c r="G38" s="16" t="s">
        <v>50</v>
      </c>
      <c r="H38" s="16"/>
    </row>
    <row r="39" spans="1:8" ht="12.75">
      <c r="A39" t="s">
        <v>41</v>
      </c>
      <c r="B39" s="29">
        <f>B36+B34+B35+20*B37</f>
        <v>0.2364156907221897</v>
      </c>
      <c r="D39" s="16"/>
      <c r="E39" s="16"/>
      <c r="F39" s="16"/>
      <c r="G39" s="16"/>
      <c r="H39" s="16"/>
    </row>
    <row r="41" spans="1:12" ht="12.75">
      <c r="A41" s="2" t="s">
        <v>17</v>
      </c>
      <c r="B41" s="12" t="s">
        <v>12</v>
      </c>
      <c r="C41" s="8"/>
      <c r="D41" s="2"/>
      <c r="E41" s="39" t="s">
        <v>21</v>
      </c>
      <c r="F41" s="28" t="s">
        <v>8</v>
      </c>
      <c r="G41" s="12" t="s">
        <v>13</v>
      </c>
      <c r="H41" s="2"/>
      <c r="I41" s="2" t="s">
        <v>14</v>
      </c>
      <c r="J41" s="2" t="s">
        <v>15</v>
      </c>
      <c r="K41" s="18" t="s">
        <v>27</v>
      </c>
      <c r="L41" s="18" t="s">
        <v>36</v>
      </c>
    </row>
    <row r="42" spans="1:12" ht="12.75">
      <c r="A42" s="1">
        <v>1</v>
      </c>
      <c r="B42" s="13"/>
      <c r="C42" s="9"/>
      <c r="D42" s="3"/>
      <c r="E42" s="40">
        <f>E8</f>
        <v>0.258</v>
      </c>
      <c r="F42" s="6"/>
      <c r="G42" s="14">
        <v>0</v>
      </c>
      <c r="H42" s="3"/>
      <c r="I42" s="6">
        <f>G42/25.4</f>
        <v>0</v>
      </c>
      <c r="J42" s="3"/>
      <c r="K42" s="9"/>
      <c r="L42" s="32">
        <v>0</v>
      </c>
    </row>
    <row r="43" spans="1:12" ht="12.75">
      <c r="A43" s="2" t="s">
        <v>5</v>
      </c>
      <c r="B43" s="12" t="s">
        <v>12</v>
      </c>
      <c r="C43" s="2" t="s">
        <v>11</v>
      </c>
      <c r="D43" s="2" t="s">
        <v>6</v>
      </c>
      <c r="E43" s="39" t="s">
        <v>21</v>
      </c>
      <c r="F43" s="28" t="s">
        <v>8</v>
      </c>
      <c r="G43" s="12" t="s">
        <v>13</v>
      </c>
      <c r="H43" s="2" t="s">
        <v>7</v>
      </c>
      <c r="I43" s="2" t="s">
        <v>14</v>
      </c>
      <c r="J43" s="2" t="s">
        <v>15</v>
      </c>
      <c r="K43" s="18" t="s">
        <v>27</v>
      </c>
      <c r="L43" s="18" t="s">
        <v>36</v>
      </c>
    </row>
    <row r="44" spans="1:12" ht="12.75">
      <c r="A44" s="1">
        <f>IF(A42="",1,IF(J42&gt;J44,"Error",A42+1))</f>
        <v>2</v>
      </c>
      <c r="B44" s="13">
        <f>D44+(E44/E42)*SQRT(D44^2-F44^2)</f>
        <v>347.91766040270346</v>
      </c>
      <c r="C44" s="3">
        <f>D44+(E42/E44)*SQRT(D44^2-F44^2)</f>
        <v>879.1535147045572</v>
      </c>
      <c r="D44" s="38">
        <f>D10</f>
        <v>254</v>
      </c>
      <c r="E44" s="38">
        <f>E10</f>
        <v>0.09999999999999985</v>
      </c>
      <c r="F44" s="6">
        <f>PI()*E44*E42/$D$2</f>
        <v>76.17771660020352</v>
      </c>
      <c r="G44" s="15">
        <f>G42+B44+C44</f>
        <v>1227.0711751072606</v>
      </c>
      <c r="H44" s="6">
        <f>G42+C44</f>
        <v>879.1535147045572</v>
      </c>
      <c r="I44" s="6">
        <f>G44/25.4</f>
        <v>48.309888783750424</v>
      </c>
      <c r="J44" s="6">
        <f>H44/25.4</f>
        <v>34.61234309860462</v>
      </c>
      <c r="K44" s="9">
        <f>SQRT(E42^2*(1+(($D$2*C44)/(PI()*E42^2)^2)))</f>
        <v>1.2208290889004478</v>
      </c>
      <c r="L44" s="32">
        <f>J44-J42</f>
        <v>34.61234309860462</v>
      </c>
    </row>
    <row r="45" spans="1:12" ht="12.75">
      <c r="A45" s="2" t="s">
        <v>5</v>
      </c>
      <c r="B45" s="12" t="s">
        <v>12</v>
      </c>
      <c r="C45" s="2" t="s">
        <v>11</v>
      </c>
      <c r="D45" s="2" t="s">
        <v>6</v>
      </c>
      <c r="E45" s="39" t="s">
        <v>21</v>
      </c>
      <c r="F45" s="28" t="s">
        <v>8</v>
      </c>
      <c r="G45" s="12" t="s">
        <v>13</v>
      </c>
      <c r="H45" s="2" t="s">
        <v>7</v>
      </c>
      <c r="I45" s="2" t="s">
        <v>14</v>
      </c>
      <c r="J45" s="2" t="s">
        <v>15</v>
      </c>
      <c r="K45" s="18" t="s">
        <v>27</v>
      </c>
      <c r="L45" s="18" t="s">
        <v>36</v>
      </c>
    </row>
    <row r="46" spans="1:12" ht="12.75">
      <c r="A46" s="1">
        <f>IF(A44="",1,IF(J44&gt;J46,"Error",A44+1))</f>
        <v>3</v>
      </c>
      <c r="B46" s="13">
        <f>D46+(E46/E44)*SQRT(D46^2-F46^2)</f>
        <v>854.3486738307959</v>
      </c>
      <c r="C46" s="3">
        <f>D46+(E44/E46)*SQRT(D46^2-F46^2)</f>
        <v>352.62464920257804</v>
      </c>
      <c r="D46" s="38">
        <f>D12</f>
        <v>254</v>
      </c>
      <c r="E46" s="38">
        <f>E12</f>
        <v>0.24672266192932885</v>
      </c>
      <c r="F46" s="6">
        <f>PI()*E46*E44/$D$2</f>
        <v>72.84794193527222</v>
      </c>
      <c r="G46" s="15">
        <f>G44+B46+C46</f>
        <v>2434.0444981406345</v>
      </c>
      <c r="H46" s="6">
        <f>G44+C46</f>
        <v>1579.6958243098386</v>
      </c>
      <c r="I46" s="6">
        <f>G46/25.4</f>
        <v>95.82852354884388</v>
      </c>
      <c r="J46" s="6">
        <f>H46/25.4</f>
        <v>62.19274898857633</v>
      </c>
      <c r="K46" s="9">
        <f>SQRT(E44^2*(1+(($D$2*C46)/(PI()*E44^2)^2)))</f>
        <v>1.952305330534758</v>
      </c>
      <c r="L46" s="32">
        <f>J46-J44</f>
        <v>27.580405889971708</v>
      </c>
    </row>
    <row r="47" spans="1:12" ht="12.75">
      <c r="A47" s="2" t="s">
        <v>5</v>
      </c>
      <c r="B47" s="12" t="s">
        <v>12</v>
      </c>
      <c r="C47" s="2" t="s">
        <v>11</v>
      </c>
      <c r="D47" s="2" t="s">
        <v>6</v>
      </c>
      <c r="E47" s="39" t="s">
        <v>21</v>
      </c>
      <c r="F47" s="28" t="s">
        <v>8</v>
      </c>
      <c r="G47" s="12" t="s">
        <v>13</v>
      </c>
      <c r="H47" s="2" t="s">
        <v>7</v>
      </c>
      <c r="I47" s="2" t="s">
        <v>14</v>
      </c>
      <c r="J47" s="2" t="s">
        <v>15</v>
      </c>
      <c r="K47" s="18" t="s">
        <v>27</v>
      </c>
      <c r="L47" s="18" t="s">
        <v>36</v>
      </c>
    </row>
    <row r="48" spans="1:12" ht="12.75">
      <c r="A48" s="1">
        <f>IF(A46="",1,IF(J46&gt;J48,"Error",A46+1))</f>
        <v>4</v>
      </c>
      <c r="B48" s="13">
        <f>D48+(E48/E46)*SQRT(D48^2-F48^2)</f>
        <v>212.19525891574256</v>
      </c>
      <c r="C48" s="3">
        <f>D48+(E46/E48)*SQRT(D48^2-F48^2)</f>
        <v>310.52139121308505</v>
      </c>
      <c r="D48" s="38">
        <f>D14</f>
        <v>150</v>
      </c>
      <c r="E48" s="38">
        <f>E14</f>
        <v>0.15357524774920492</v>
      </c>
      <c r="F48" s="6">
        <f>PI()*E48*E46/$D$2</f>
        <v>111.87640730729143</v>
      </c>
      <c r="G48" s="15">
        <f>G46+B48+C48</f>
        <v>2956.761148269462</v>
      </c>
      <c r="H48" s="6">
        <f>G46+C48</f>
        <v>2744.5658893537193</v>
      </c>
      <c r="I48" s="6">
        <f>G48/25.4</f>
        <v>116.40791922320717</v>
      </c>
      <c r="J48" s="6">
        <f>H48/25.4</f>
        <v>108.05377517140627</v>
      </c>
      <c r="K48" s="9">
        <f>SQRT(E46^2*(1+(($D$2*C48)/(PI()*E46^2)^2)))</f>
        <v>0.7815446804550444</v>
      </c>
      <c r="L48" s="32">
        <f>J48-J46</f>
        <v>45.861026182829946</v>
      </c>
    </row>
    <row r="49" spans="1:12" ht="12.75">
      <c r="A49" s="2" t="s">
        <v>5</v>
      </c>
      <c r="B49" s="12" t="s">
        <v>12</v>
      </c>
      <c r="C49" s="2" t="s">
        <v>11</v>
      </c>
      <c r="D49" s="2" t="s">
        <v>6</v>
      </c>
      <c r="E49" s="21" t="s">
        <v>21</v>
      </c>
      <c r="F49" s="28" t="s">
        <v>8</v>
      </c>
      <c r="G49" s="12" t="s">
        <v>13</v>
      </c>
      <c r="H49" s="2" t="s">
        <v>7</v>
      </c>
      <c r="I49" s="2" t="s">
        <v>14</v>
      </c>
      <c r="J49" s="2" t="s">
        <v>15</v>
      </c>
      <c r="K49" s="18" t="s">
        <v>27</v>
      </c>
      <c r="L49" s="18" t="s">
        <v>36</v>
      </c>
    </row>
    <row r="50" spans="1:12" ht="12.75">
      <c r="A50" s="1">
        <f>IF(A48="",1,IF(J48&gt;J50,"Error",A48+1))</f>
        <v>5</v>
      </c>
      <c r="B50" s="13">
        <f>D50+(E50/E48)*SQRT(D50^2-F50^2)</f>
        <v>605.6284052513004</v>
      </c>
      <c r="C50" s="3">
        <f>D50+(E48/E50)*SQRT(D50^2-F50^2)</f>
        <v>405.4588606028385</v>
      </c>
      <c r="D50" s="1">
        <v>254</v>
      </c>
      <c r="E50" s="23">
        <v>0.234</v>
      </c>
      <c r="F50" s="6">
        <f>PI()*E50*E48/$D$2</f>
        <v>106.10731541719878</v>
      </c>
      <c r="G50" s="15">
        <f>G48+B50+C50</f>
        <v>3967.8484141236004</v>
      </c>
      <c r="H50" s="6">
        <f>G48+C50</f>
        <v>3362.2200088723002</v>
      </c>
      <c r="I50" s="6">
        <f>G50/25.4</f>
        <v>156.21450449305513</v>
      </c>
      <c r="J50" s="6">
        <f>H50/25.4</f>
        <v>132.37086649103546</v>
      </c>
      <c r="K50" s="9">
        <f>SQRT(E48^2*(1+(($D$2*C50)/(PI()*E48^2)^2)))</f>
        <v>1.3699954395002902</v>
      </c>
      <c r="L50" s="32">
        <f>J50-J48</f>
        <v>24.317091319629185</v>
      </c>
    </row>
    <row r="51" spans="1:12" ht="12.75">
      <c r="A51" s="2" t="s">
        <v>29</v>
      </c>
      <c r="B51" s="12" t="s">
        <v>12</v>
      </c>
      <c r="C51" s="2" t="s">
        <v>11</v>
      </c>
      <c r="D51" s="2" t="s">
        <v>6</v>
      </c>
      <c r="E51" s="21" t="s">
        <v>21</v>
      </c>
      <c r="F51" s="28" t="s">
        <v>8</v>
      </c>
      <c r="G51" s="12" t="s">
        <v>13</v>
      </c>
      <c r="H51" s="2" t="s">
        <v>7</v>
      </c>
      <c r="I51" s="2" t="s">
        <v>33</v>
      </c>
      <c r="J51" s="2" t="s">
        <v>34</v>
      </c>
      <c r="K51" s="31" t="s">
        <v>27</v>
      </c>
      <c r="L51" s="18" t="s">
        <v>36</v>
      </c>
    </row>
    <row r="52" spans="1:12" ht="12.75">
      <c r="A52" s="1">
        <f>IF(A50="",1,IF(J50&gt;J52,"Error",A50+1))</f>
        <v>6</v>
      </c>
      <c r="B52" s="13">
        <f>D52+(E52/E50)*SQRT(D52^2-F52^2)</f>
        <v>915.1295686212104</v>
      </c>
      <c r="C52" s="3">
        <f>D52+(E50/E52)*SQRT(D52^2-F52^2)</f>
        <v>586.0099488492186</v>
      </c>
      <c r="D52" s="1">
        <v>406.6</v>
      </c>
      <c r="E52" s="22">
        <f>E54</f>
        <v>0.3939587051145029</v>
      </c>
      <c r="F52" s="6">
        <f>PI()*E52*E50/$D$2</f>
        <v>272.1916532617293</v>
      </c>
      <c r="G52" s="15">
        <f>G50+B52+C52</f>
        <v>5468.98793159403</v>
      </c>
      <c r="H52" s="6">
        <f>G50+C52</f>
        <v>4553.858362972819</v>
      </c>
      <c r="I52" s="6">
        <f>G52/25.4</f>
        <v>215.31448549582797</v>
      </c>
      <c r="J52" s="6">
        <f>H52/25.4</f>
        <v>179.28576232176454</v>
      </c>
      <c r="K52" s="32">
        <f>SQRT(E50^2*(1+(($D$2*C52)/(PI()*E50^2)^2)))</f>
        <v>1.0993248594274727</v>
      </c>
      <c r="L52" s="32">
        <f>J52-J50</f>
        <v>46.91489583072908</v>
      </c>
    </row>
    <row r="53" spans="1:12" ht="12.75">
      <c r="A53" s="2" t="s">
        <v>35</v>
      </c>
      <c r="B53" s="12" t="s">
        <v>12</v>
      </c>
      <c r="C53" s="2" t="s">
        <v>31</v>
      </c>
      <c r="D53" s="2" t="s">
        <v>28</v>
      </c>
      <c r="E53" s="21" t="s">
        <v>21</v>
      </c>
      <c r="F53" s="28"/>
      <c r="G53" s="12" t="s">
        <v>13</v>
      </c>
      <c r="H53" s="2" t="s">
        <v>7</v>
      </c>
      <c r="I53" s="2" t="s">
        <v>33</v>
      </c>
      <c r="J53" s="2" t="s">
        <v>34</v>
      </c>
      <c r="K53" s="31"/>
      <c r="L53" s="18" t="s">
        <v>36</v>
      </c>
    </row>
    <row r="54" spans="1:12" ht="12.75">
      <c r="A54" s="1">
        <f>IF(A52="",1,IF(J52&gt;J54,"Error",A52+1))</f>
        <v>7</v>
      </c>
      <c r="B54" s="15"/>
      <c r="C54" s="1">
        <v>300</v>
      </c>
      <c r="D54" s="1">
        <v>1000</v>
      </c>
      <c r="E54" s="22">
        <f>SQRT(($D$2/(2*PI()))*2*SQRT(C54*(D54-C54)))</f>
        <v>0.3939587051145029</v>
      </c>
      <c r="F54" s="6"/>
      <c r="G54" s="15">
        <f>G52</f>
        <v>5468.98793159403</v>
      </c>
      <c r="H54" s="6">
        <f>G54-C54</f>
        <v>5168.98793159403</v>
      </c>
      <c r="I54" s="6">
        <f>G54/25.4</f>
        <v>215.31448549582797</v>
      </c>
      <c r="J54" s="6">
        <f>H54/25.4</f>
        <v>203.5034618737807</v>
      </c>
      <c r="K54" s="32">
        <f>SQRT(E52^2*(1+(($D$2*C54/2)/(PI()*E52^2)^2)))</f>
        <v>0.5093081867022407</v>
      </c>
      <c r="L54" s="32">
        <f>J54-J52</f>
        <v>24.21769955201617</v>
      </c>
    </row>
  </sheetData>
  <mergeCells count="1">
    <mergeCell ref="A1:B3"/>
  </mergeCells>
  <printOptions/>
  <pageMargins left="0.25" right="0.25" top="0.25" bottom="0.44" header="0.25" footer="0.3"/>
  <pageSetup horizontalDpi="600" verticalDpi="600" orientation="portrait" scale="96" r:id="rId1"/>
</worksheet>
</file>

<file path=xl/worksheets/sheet6.xml><?xml version="1.0" encoding="utf-8"?>
<worksheet xmlns="http://schemas.openxmlformats.org/spreadsheetml/2006/main" xmlns:r="http://schemas.openxmlformats.org/officeDocument/2006/relationships">
  <sheetPr codeName="Sheet9"/>
  <dimension ref="A1:K42"/>
  <sheetViews>
    <sheetView workbookViewId="0" topLeftCell="A12">
      <selection activeCell="E44" sqref="E44"/>
    </sheetView>
  </sheetViews>
  <sheetFormatPr defaultColWidth="9.140625" defaultRowHeight="12.75"/>
  <cols>
    <col min="4" max="4" width="10.7109375" style="0" customWidth="1"/>
  </cols>
  <sheetData>
    <row r="1" spans="1:10" ht="12.75">
      <c r="A1" s="1"/>
      <c r="B1" s="1"/>
      <c r="C1" s="1" t="s">
        <v>0</v>
      </c>
      <c r="D1" s="1"/>
      <c r="E1" s="1"/>
      <c r="F1" s="1"/>
      <c r="G1" s="1"/>
      <c r="H1" s="1"/>
      <c r="I1" s="1"/>
      <c r="J1" s="1"/>
    </row>
    <row r="2" spans="1:10" ht="12.75">
      <c r="A2" s="1"/>
      <c r="B2" s="69" t="s">
        <v>1</v>
      </c>
      <c r="C2" s="69"/>
      <c r="D2" s="1">
        <v>0.001064</v>
      </c>
      <c r="E2" s="1" t="s">
        <v>3</v>
      </c>
      <c r="F2" s="1"/>
      <c r="G2" s="1"/>
      <c r="H2" s="1"/>
      <c r="I2" s="1"/>
      <c r="J2" s="1"/>
    </row>
    <row r="3" spans="1:10" ht="12.75">
      <c r="A3" s="1"/>
      <c r="B3" s="1"/>
      <c r="C3" s="1"/>
      <c r="D3" s="1"/>
      <c r="E3" s="1"/>
      <c r="F3" s="1"/>
      <c r="G3" s="1"/>
      <c r="H3" s="1"/>
      <c r="I3" s="1"/>
      <c r="J3" s="1"/>
    </row>
    <row r="4" spans="1:10" ht="12.75">
      <c r="A4" s="1"/>
      <c r="B4" s="1"/>
      <c r="C4" s="1"/>
      <c r="D4" s="1"/>
      <c r="E4" s="1"/>
      <c r="F4" s="1"/>
      <c r="G4" s="1"/>
      <c r="H4" s="1"/>
      <c r="I4" s="1"/>
      <c r="J4" s="1"/>
    </row>
    <row r="5" spans="1:10" ht="12.75">
      <c r="A5" s="2" t="s">
        <v>17</v>
      </c>
      <c r="B5" s="12" t="s">
        <v>12</v>
      </c>
      <c r="C5" s="8"/>
      <c r="D5" s="2"/>
      <c r="E5" s="2" t="s">
        <v>21</v>
      </c>
      <c r="F5" s="2" t="s">
        <v>8</v>
      </c>
      <c r="G5" s="12" t="s">
        <v>13</v>
      </c>
      <c r="H5" s="2"/>
      <c r="I5" s="2" t="s">
        <v>14</v>
      </c>
      <c r="J5" s="2" t="s">
        <v>15</v>
      </c>
    </row>
    <row r="6" spans="1:10" ht="12.75">
      <c r="A6" s="1">
        <f>IF(A4="",1,A4+1)</f>
        <v>1</v>
      </c>
      <c r="B6" s="13">
        <f>G6</f>
        <v>0</v>
      </c>
      <c r="C6" s="9"/>
      <c r="D6" s="3"/>
      <c r="E6" s="7">
        <v>0.18</v>
      </c>
      <c r="F6" s="3"/>
      <c r="G6" s="14">
        <v>0</v>
      </c>
      <c r="H6" s="3"/>
      <c r="I6" s="6">
        <f>G6/25.4</f>
        <v>0</v>
      </c>
      <c r="J6" s="3"/>
    </row>
    <row r="7" spans="1:10" ht="12.75">
      <c r="A7" s="2" t="s">
        <v>5</v>
      </c>
      <c r="B7" s="12" t="s">
        <v>12</v>
      </c>
      <c r="C7" s="2" t="s">
        <v>11</v>
      </c>
      <c r="D7" s="2" t="s">
        <v>6</v>
      </c>
      <c r="E7" s="2" t="s">
        <v>21</v>
      </c>
      <c r="F7" s="2" t="s">
        <v>8</v>
      </c>
      <c r="G7" s="12" t="s">
        <v>13</v>
      </c>
      <c r="H7" s="2" t="s">
        <v>7</v>
      </c>
      <c r="I7" s="2" t="s">
        <v>14</v>
      </c>
      <c r="J7" s="2" t="s">
        <v>15</v>
      </c>
    </row>
    <row r="8" spans="1:10" ht="12.75">
      <c r="A8" s="1">
        <f>IF(A6="",1,A6+1)</f>
        <v>2</v>
      </c>
      <c r="B8" s="13" t="e">
        <f>D8+(E8/E6)*SQRT(D8^2-F8^2)</f>
        <v>#NUM!</v>
      </c>
      <c r="C8" s="3" t="e">
        <f>D8+(E6/E8)*SQRT(D8^2-F8^2)</f>
        <v>#NUM!</v>
      </c>
      <c r="D8" s="1">
        <v>250</v>
      </c>
      <c r="E8" s="1">
        <f>E10</f>
        <v>0.7127570261662315</v>
      </c>
      <c r="F8" s="3">
        <f>PI()*E8*E6/$D$2</f>
        <v>378.8107168192681</v>
      </c>
      <c r="G8" s="15" t="e">
        <f>G6+B8+C8</f>
        <v>#NUM!</v>
      </c>
      <c r="H8" s="6" t="e">
        <f>G6+C8</f>
        <v>#NUM!</v>
      </c>
      <c r="I8" s="6" t="e">
        <f>G8/25.4</f>
        <v>#NUM!</v>
      </c>
      <c r="J8" s="6" t="e">
        <f>H8/25.4</f>
        <v>#NUM!</v>
      </c>
    </row>
    <row r="9" spans="1:10" ht="12.75">
      <c r="A9" s="2" t="s">
        <v>4</v>
      </c>
      <c r="B9" s="12" t="s">
        <v>12</v>
      </c>
      <c r="C9" s="2" t="s">
        <v>2</v>
      </c>
      <c r="D9" s="2" t="s">
        <v>28</v>
      </c>
      <c r="E9" s="2" t="s">
        <v>21</v>
      </c>
      <c r="F9" s="2"/>
      <c r="G9" s="12" t="s">
        <v>13</v>
      </c>
      <c r="H9" s="2" t="s">
        <v>7</v>
      </c>
      <c r="I9" s="2" t="s">
        <v>14</v>
      </c>
      <c r="J9" s="2" t="s">
        <v>15</v>
      </c>
    </row>
    <row r="10" spans="1:10" ht="12.75">
      <c r="A10" s="1">
        <f>IF(A8="",1,A8+1)</f>
        <v>3</v>
      </c>
      <c r="B10" s="13">
        <v>0</v>
      </c>
      <c r="C10" s="1">
        <v>1000</v>
      </c>
      <c r="D10" s="1">
        <v>5000</v>
      </c>
      <c r="E10" s="3">
        <f>SQRT(($D$2/(2*PI()))*SQRT(C10*(D10*2-C10)))</f>
        <v>0.7127570261662315</v>
      </c>
      <c r="F10" s="3"/>
      <c r="G10" s="13">
        <v>0</v>
      </c>
      <c r="H10" s="3">
        <v>0</v>
      </c>
      <c r="I10" s="3">
        <f>G10/254</f>
        <v>0</v>
      </c>
      <c r="J10" s="3">
        <f>H10/254</f>
        <v>0</v>
      </c>
    </row>
    <row r="11" spans="1:10" ht="12.75">
      <c r="A11" s="17"/>
      <c r="B11" s="17"/>
      <c r="C11" s="17"/>
      <c r="D11" s="17"/>
      <c r="E11" s="17"/>
      <c r="F11" s="17"/>
      <c r="G11" s="17"/>
      <c r="H11" s="17"/>
      <c r="I11" s="17"/>
      <c r="J11" s="17"/>
    </row>
    <row r="12" spans="1:10" ht="12.75">
      <c r="A12" s="17"/>
      <c r="B12" s="17"/>
      <c r="C12" s="17"/>
      <c r="D12" s="17"/>
      <c r="E12" s="17"/>
      <c r="F12" s="17"/>
      <c r="G12" s="17"/>
      <c r="H12" s="17"/>
      <c r="I12" s="17"/>
      <c r="J12" s="17"/>
    </row>
    <row r="13" spans="1:10" ht="12.75">
      <c r="A13" s="2" t="s">
        <v>17</v>
      </c>
      <c r="B13" s="12" t="s">
        <v>12</v>
      </c>
      <c r="C13" s="8"/>
      <c r="D13" s="2"/>
      <c r="E13" s="2" t="s">
        <v>21</v>
      </c>
      <c r="F13" s="2" t="s">
        <v>8</v>
      </c>
      <c r="G13" s="12" t="s">
        <v>13</v>
      </c>
      <c r="H13" s="2"/>
      <c r="I13" s="2" t="s">
        <v>14</v>
      </c>
      <c r="J13" s="2" t="s">
        <v>15</v>
      </c>
    </row>
    <row r="14" spans="1:10" ht="12.75">
      <c r="A14" s="1">
        <f>IF(A12="",1,A12+1)</f>
        <v>1</v>
      </c>
      <c r="B14" s="13">
        <f>G14</f>
        <v>0</v>
      </c>
      <c r="C14" s="9"/>
      <c r="D14" s="3"/>
      <c r="E14" s="7">
        <v>0.18</v>
      </c>
      <c r="F14" s="3"/>
      <c r="G14" s="14">
        <v>0</v>
      </c>
      <c r="H14" s="3"/>
      <c r="I14" s="6">
        <f>G14/25.4</f>
        <v>0</v>
      </c>
      <c r="J14" s="3"/>
    </row>
    <row r="15" spans="1:11" ht="12.75">
      <c r="A15" s="2" t="s">
        <v>5</v>
      </c>
      <c r="B15" s="12" t="s">
        <v>12</v>
      </c>
      <c r="C15" s="2" t="s">
        <v>11</v>
      </c>
      <c r="D15" s="2" t="s">
        <v>6</v>
      </c>
      <c r="E15" s="2" t="s">
        <v>21</v>
      </c>
      <c r="F15" s="2" t="s">
        <v>8</v>
      </c>
      <c r="G15" s="12" t="s">
        <v>13</v>
      </c>
      <c r="H15" s="2" t="s">
        <v>7</v>
      </c>
      <c r="I15" s="2" t="s">
        <v>14</v>
      </c>
      <c r="J15" s="2" t="s">
        <v>15</v>
      </c>
      <c r="K15" s="18" t="s">
        <v>27</v>
      </c>
    </row>
    <row r="16" spans="1:11" ht="12.75">
      <c r="A16" s="1">
        <f>IF(A14="",1,A14+1)</f>
        <v>2</v>
      </c>
      <c r="B16" s="13">
        <f>D16+(E16/E14)*SQRT(D16^2-F16^2)</f>
        <v>1792.2566703554537</v>
      </c>
      <c r="C16" s="3">
        <f>D16+(E14/E16)*SQRT(D16^2-F16^2)</f>
        <v>582.4158569006088</v>
      </c>
      <c r="D16" s="1">
        <v>500</v>
      </c>
      <c r="E16" s="1">
        <f>E18</f>
        <v>0.7127570261662315</v>
      </c>
      <c r="F16" s="3">
        <f>PI()*E16*E14/$D$2</f>
        <v>378.8107168192681</v>
      </c>
      <c r="G16" s="15">
        <f>B16+C16+B14</f>
        <v>2374.6725272560625</v>
      </c>
      <c r="H16" s="6">
        <f>G14+C16</f>
        <v>582.4158569006088</v>
      </c>
      <c r="I16" s="6">
        <f>G16/25.4</f>
        <v>93.49104438015995</v>
      </c>
      <c r="J16" s="6">
        <f>H16/25.4</f>
        <v>22.92975814569326</v>
      </c>
      <c r="K16" s="9">
        <f>SQRT(E14^2*(1+(($D$2*C16)/(PI()*E14^2)^2)))</f>
        <v>1.4036716853565525</v>
      </c>
    </row>
    <row r="17" spans="1:11" ht="12.75">
      <c r="A17" s="2" t="s">
        <v>4</v>
      </c>
      <c r="B17" s="12" t="s">
        <v>12</v>
      </c>
      <c r="C17" s="2" t="s">
        <v>2</v>
      </c>
      <c r="D17" s="2" t="s">
        <v>28</v>
      </c>
      <c r="E17" s="2" t="s">
        <v>21</v>
      </c>
      <c r="F17" s="2"/>
      <c r="G17" s="12" t="s">
        <v>13</v>
      </c>
      <c r="H17" s="2" t="s">
        <v>7</v>
      </c>
      <c r="I17" s="2" t="s">
        <v>14</v>
      </c>
      <c r="J17" s="2" t="s">
        <v>15</v>
      </c>
      <c r="K17" s="18" t="s">
        <v>27</v>
      </c>
    </row>
    <row r="18" spans="1:11" ht="12.75">
      <c r="A18" s="1">
        <f>IF(A16="",1,A16+1)</f>
        <v>3</v>
      </c>
      <c r="B18" s="13">
        <v>0</v>
      </c>
      <c r="C18" s="1">
        <v>1000</v>
      </c>
      <c r="D18" s="1">
        <v>5000</v>
      </c>
      <c r="E18" s="3">
        <f>SQRT(($D$2/(2*PI()))*SQRT(C18*(D18*2-C18)))</f>
        <v>0.7127570261662315</v>
      </c>
      <c r="F18" s="3"/>
      <c r="G18" s="15">
        <f>G16</f>
        <v>2374.6725272560625</v>
      </c>
      <c r="H18" s="3">
        <f>G18-(C18/2)</f>
        <v>1874.6725272560625</v>
      </c>
      <c r="I18" s="3">
        <f>G18/254</f>
        <v>9.349104438015994</v>
      </c>
      <c r="J18" s="3">
        <f>H18/254</f>
        <v>7.38060050100812</v>
      </c>
      <c r="K18" s="9">
        <f>SQRT(E16^2*(1+(($D$2*C18/2)/(PI()*E16^2)^2)))</f>
        <v>0.7836618363451974</v>
      </c>
    </row>
    <row r="21" spans="1:10" ht="12.75">
      <c r="A21" s="2" t="s">
        <v>17</v>
      </c>
      <c r="B21" s="12" t="s">
        <v>12</v>
      </c>
      <c r="C21" s="8"/>
      <c r="D21" s="2"/>
      <c r="E21" s="2" t="s">
        <v>21</v>
      </c>
      <c r="F21" s="2" t="s">
        <v>8</v>
      </c>
      <c r="G21" s="12" t="s">
        <v>13</v>
      </c>
      <c r="H21" s="2"/>
      <c r="I21" s="2" t="s">
        <v>14</v>
      </c>
      <c r="J21" s="2" t="s">
        <v>15</v>
      </c>
    </row>
    <row r="22" spans="1:10" ht="12.75">
      <c r="A22" s="1">
        <f>IF(A20="",1,A20+1)</f>
        <v>1</v>
      </c>
      <c r="B22" s="13">
        <f>G22</f>
        <v>0</v>
      </c>
      <c r="C22" s="9"/>
      <c r="D22" s="3"/>
      <c r="E22" s="7">
        <v>0.18</v>
      </c>
      <c r="F22" s="3"/>
      <c r="G22" s="14">
        <v>0</v>
      </c>
      <c r="H22" s="3"/>
      <c r="I22" s="6">
        <f>G22/25.4</f>
        <v>0</v>
      </c>
      <c r="J22" s="3"/>
    </row>
    <row r="23" spans="1:11" ht="12.75">
      <c r="A23" s="2" t="s">
        <v>5</v>
      </c>
      <c r="B23" s="12" t="s">
        <v>12</v>
      </c>
      <c r="C23" s="2" t="s">
        <v>11</v>
      </c>
      <c r="D23" s="2" t="s">
        <v>6</v>
      </c>
      <c r="E23" s="2" t="s">
        <v>21</v>
      </c>
      <c r="F23" s="2" t="s">
        <v>8</v>
      </c>
      <c r="G23" s="12" t="s">
        <v>13</v>
      </c>
      <c r="H23" s="2" t="s">
        <v>7</v>
      </c>
      <c r="I23" s="2" t="s">
        <v>14</v>
      </c>
      <c r="J23" s="2" t="s">
        <v>15</v>
      </c>
      <c r="K23" s="18" t="s">
        <v>27</v>
      </c>
    </row>
    <row r="24" spans="1:11" ht="12.75">
      <c r="A24" s="1">
        <f>IF(A22="",1,A22+1)</f>
        <v>2</v>
      </c>
      <c r="B24" s="13">
        <f>D24+(E24/E22)*SQRT(D24^2-F24^2)</f>
        <v>3313.169215966021</v>
      </c>
      <c r="C24" s="3">
        <f>D24+(E22/E24)*SQRT(D24^2-F24^2)</f>
        <v>913.4704561107005</v>
      </c>
      <c r="D24" s="1">
        <v>750</v>
      </c>
      <c r="E24" s="1">
        <f>E26</f>
        <v>0.7127570261662315</v>
      </c>
      <c r="F24" s="3">
        <f>PI()*E24*E22/$D$2</f>
        <v>378.8107168192681</v>
      </c>
      <c r="G24" s="15">
        <f>G22+B24+C24</f>
        <v>4226.639672076722</v>
      </c>
      <c r="H24" s="6">
        <f>G22+C24</f>
        <v>913.4704561107005</v>
      </c>
      <c r="I24" s="6">
        <f>G24/25.4</f>
        <v>166.40313669593394</v>
      </c>
      <c r="J24" s="6">
        <f>H24/25.4</f>
        <v>35.96340378388585</v>
      </c>
      <c r="K24" s="9">
        <f>SQRT(E22^2*(1+(($D$2*C24)/(PI()*E22^2)^2)))</f>
        <v>1.7526621544617285</v>
      </c>
    </row>
    <row r="25" spans="1:11" ht="12.75">
      <c r="A25" s="2" t="s">
        <v>4</v>
      </c>
      <c r="B25" s="12" t="s">
        <v>12</v>
      </c>
      <c r="C25" s="2" t="s">
        <v>2</v>
      </c>
      <c r="D25" s="2" t="s">
        <v>28</v>
      </c>
      <c r="E25" s="2" t="s">
        <v>21</v>
      </c>
      <c r="F25" s="2"/>
      <c r="G25" s="12" t="s">
        <v>13</v>
      </c>
      <c r="H25" s="2" t="s">
        <v>7</v>
      </c>
      <c r="I25" s="2" t="s">
        <v>14</v>
      </c>
      <c r="J25" s="2" t="s">
        <v>15</v>
      </c>
      <c r="K25" s="18" t="s">
        <v>27</v>
      </c>
    </row>
    <row r="26" spans="1:11" ht="12.75">
      <c r="A26" s="1">
        <f>IF(A24="",1,A24+1)</f>
        <v>3</v>
      </c>
      <c r="B26" s="13">
        <v>0</v>
      </c>
      <c r="C26" s="1">
        <v>1000</v>
      </c>
      <c r="D26" s="1">
        <v>5000</v>
      </c>
      <c r="E26" s="3">
        <f>SQRT(($D$2/(2*PI()))*SQRT(C26*(D26*2-C26)))</f>
        <v>0.7127570261662315</v>
      </c>
      <c r="F26" s="3"/>
      <c r="G26" s="15">
        <f>G24</f>
        <v>4226.639672076722</v>
      </c>
      <c r="H26" s="3">
        <f>G26-(C26/2)</f>
        <v>3726.6396720767216</v>
      </c>
      <c r="I26" s="3">
        <f>G26/254</f>
        <v>16.640313669593393</v>
      </c>
      <c r="J26" s="3">
        <f>H26/254</f>
        <v>14.671809732585517</v>
      </c>
      <c r="K26" s="9">
        <f>SQRT(E24^2*(1+(($D$2*C26/2)/(PI()*E24^2)^2)))</f>
        <v>0.7836618363451974</v>
      </c>
    </row>
    <row r="29" spans="1:10" ht="12.75">
      <c r="A29" s="2" t="s">
        <v>17</v>
      </c>
      <c r="B29" s="12" t="s">
        <v>12</v>
      </c>
      <c r="C29" s="8"/>
      <c r="D29" s="2"/>
      <c r="E29" s="2" t="s">
        <v>21</v>
      </c>
      <c r="F29" s="2" t="s">
        <v>8</v>
      </c>
      <c r="G29" s="12" t="s">
        <v>13</v>
      </c>
      <c r="H29" s="2"/>
      <c r="I29" s="2" t="s">
        <v>14</v>
      </c>
      <c r="J29" s="2" t="s">
        <v>15</v>
      </c>
    </row>
    <row r="30" spans="1:10" ht="12.75">
      <c r="A30" s="1">
        <f>IF(A28="",1,A28+1)</f>
        <v>1</v>
      </c>
      <c r="B30" s="13">
        <f>G30</f>
        <v>0</v>
      </c>
      <c r="C30" s="9"/>
      <c r="D30" s="3"/>
      <c r="E30" s="7">
        <v>0.18</v>
      </c>
      <c r="F30" s="3"/>
      <c r="G30" s="14">
        <v>0</v>
      </c>
      <c r="H30" s="3"/>
      <c r="I30" s="6">
        <f>G30/25.4</f>
        <v>0</v>
      </c>
      <c r="J30" s="3"/>
    </row>
    <row r="31" spans="1:11" ht="12.75">
      <c r="A31" s="2" t="s">
        <v>5</v>
      </c>
      <c r="B31" s="12" t="s">
        <v>12</v>
      </c>
      <c r="C31" s="2" t="s">
        <v>11</v>
      </c>
      <c r="D31" s="2" t="s">
        <v>6</v>
      </c>
      <c r="E31" s="2" t="s">
        <v>21</v>
      </c>
      <c r="F31" s="2" t="s">
        <v>8</v>
      </c>
      <c r="G31" s="12" t="s">
        <v>13</v>
      </c>
      <c r="H31" s="2" t="s">
        <v>7</v>
      </c>
      <c r="I31" s="2" t="s">
        <v>14</v>
      </c>
      <c r="J31" s="2" t="s">
        <v>15</v>
      </c>
      <c r="K31" s="18" t="s">
        <v>27</v>
      </c>
    </row>
    <row r="32" spans="1:11" ht="12.75">
      <c r="A32" s="1">
        <f>IF(A30="",1,A30+1)</f>
        <v>2</v>
      </c>
      <c r="B32" s="13">
        <f>D32+(E32/E30)*SQRT(D32^2-F32^2)</f>
        <v>4664.656765416463</v>
      </c>
      <c r="C32" s="3">
        <f>D32+(E30/E32)*SQRT(D32^2-F32^2)</f>
        <v>1233.719689359649</v>
      </c>
      <c r="D32" s="1">
        <v>1000</v>
      </c>
      <c r="E32" s="1">
        <f>E34</f>
        <v>0.7127570261662315</v>
      </c>
      <c r="F32" s="3">
        <f>PI()*E32*E30/$D$2</f>
        <v>378.8107168192681</v>
      </c>
      <c r="G32" s="15">
        <f>G30+B32+C32</f>
        <v>5898.376454776112</v>
      </c>
      <c r="H32" s="6">
        <f>G30+C32</f>
        <v>1233.719689359649</v>
      </c>
      <c r="I32" s="6">
        <f>G32/25.4</f>
        <v>232.21954546362647</v>
      </c>
      <c r="J32" s="6">
        <f>H32/25.4</f>
        <v>48.57164131337201</v>
      </c>
      <c r="K32" s="9">
        <f>SQRT(E30^2*(1+(($D$2*C32)/(PI()*E30^2)^2)))</f>
        <v>2.0340604598348446</v>
      </c>
    </row>
    <row r="33" spans="1:11" ht="12.75">
      <c r="A33" s="2" t="s">
        <v>4</v>
      </c>
      <c r="B33" s="12" t="s">
        <v>12</v>
      </c>
      <c r="C33" s="2" t="s">
        <v>2</v>
      </c>
      <c r="D33" s="2" t="s">
        <v>28</v>
      </c>
      <c r="E33" s="2" t="s">
        <v>21</v>
      </c>
      <c r="F33" s="2"/>
      <c r="G33" s="12" t="s">
        <v>13</v>
      </c>
      <c r="H33" s="2" t="s">
        <v>7</v>
      </c>
      <c r="I33" s="2" t="s">
        <v>14</v>
      </c>
      <c r="J33" s="2" t="s">
        <v>15</v>
      </c>
      <c r="K33" s="18" t="s">
        <v>27</v>
      </c>
    </row>
    <row r="34" spans="1:11" ht="12.75">
      <c r="A34" s="1">
        <f>IF(A32="",1,A32+1)</f>
        <v>3</v>
      </c>
      <c r="B34" s="13">
        <v>0</v>
      </c>
      <c r="C34" s="1">
        <v>1000</v>
      </c>
      <c r="D34" s="1">
        <v>5000</v>
      </c>
      <c r="E34" s="3">
        <f>SQRT(($D$2/(2*PI()))*SQRT(C34*(D34*2-C34)))</f>
        <v>0.7127570261662315</v>
      </c>
      <c r="F34" s="3"/>
      <c r="G34" s="15">
        <f>G32</f>
        <v>5898.376454776112</v>
      </c>
      <c r="H34" s="3">
        <f>G34-(C34/2)</f>
        <v>5398.376454776112</v>
      </c>
      <c r="I34" s="3">
        <f>G34/254</f>
        <v>23.221954546362646</v>
      </c>
      <c r="J34" s="3">
        <f>H34/254</f>
        <v>21.253450609354772</v>
      </c>
      <c r="K34" s="9">
        <f>SQRT(E32^2*(1+(($D$2*C34/2)/(PI()*E32^2)^2)))</f>
        <v>0.7836618363451974</v>
      </c>
    </row>
    <row r="37" spans="1:10" ht="12.75">
      <c r="A37" s="2" t="s">
        <v>17</v>
      </c>
      <c r="B37" s="12" t="s">
        <v>12</v>
      </c>
      <c r="C37" s="8"/>
      <c r="D37" s="2"/>
      <c r="E37" s="2" t="s">
        <v>21</v>
      </c>
      <c r="F37" s="2" t="s">
        <v>8</v>
      </c>
      <c r="G37" s="12" t="s">
        <v>13</v>
      </c>
      <c r="H37" s="2"/>
      <c r="I37" s="2" t="s">
        <v>14</v>
      </c>
      <c r="J37" s="2" t="s">
        <v>15</v>
      </c>
    </row>
    <row r="38" spans="1:10" ht="12.75">
      <c r="A38" s="1">
        <f>IF(A36="",1,A36+1)</f>
        <v>1</v>
      </c>
      <c r="B38" s="13">
        <f>G38</f>
        <v>0</v>
      </c>
      <c r="C38" s="9"/>
      <c r="D38" s="3"/>
      <c r="E38" s="7">
        <v>0.18</v>
      </c>
      <c r="F38" s="3"/>
      <c r="G38" s="14">
        <v>0</v>
      </c>
      <c r="H38" s="3"/>
      <c r="I38" s="6">
        <f>G38/25.4</f>
        <v>0</v>
      </c>
      <c r="J38" s="3"/>
    </row>
    <row r="39" spans="1:11" ht="12.75">
      <c r="A39" s="2" t="s">
        <v>5</v>
      </c>
      <c r="B39" s="12" t="s">
        <v>12</v>
      </c>
      <c r="C39" s="2" t="s">
        <v>11</v>
      </c>
      <c r="D39" s="2" t="s">
        <v>6</v>
      </c>
      <c r="E39" s="2" t="s">
        <v>21</v>
      </c>
      <c r="F39" s="2" t="s">
        <v>8</v>
      </c>
      <c r="G39" s="12" t="s">
        <v>13</v>
      </c>
      <c r="H39" s="2" t="s">
        <v>7</v>
      </c>
      <c r="I39" s="2" t="s">
        <v>14</v>
      </c>
      <c r="J39" s="2" t="s">
        <v>15</v>
      </c>
      <c r="K39" s="18" t="s">
        <v>27</v>
      </c>
    </row>
    <row r="40" spans="1:11" ht="12.75">
      <c r="A40" s="1">
        <f>IF(A38="",1,A38+1)</f>
        <v>2</v>
      </c>
      <c r="B40" s="13">
        <f>D40+(E40/E38)*SQRT(D40^2-F40^2)</f>
        <v>5966.94240350553</v>
      </c>
      <c r="C40" s="3">
        <f>D40+(E38/E40)*SQRT(D40^2-F40^2)</f>
        <v>1550.8309874142835</v>
      </c>
      <c r="D40" s="1">
        <v>1250</v>
      </c>
      <c r="E40" s="1">
        <f>E42</f>
        <v>0.7127570261662315</v>
      </c>
      <c r="F40" s="3">
        <f>PI()*E40*E38/$D$2</f>
        <v>378.8107168192681</v>
      </c>
      <c r="G40" s="15">
        <f>G38+B40+C40</f>
        <v>7517.773390919813</v>
      </c>
      <c r="H40" s="6">
        <f>G38+C40</f>
        <v>1550.8309874142835</v>
      </c>
      <c r="I40" s="6">
        <f>G40/25.4</f>
        <v>295.97533035117374</v>
      </c>
      <c r="J40" s="6">
        <f>H40/25.4</f>
        <v>61.05633808717652</v>
      </c>
      <c r="K40" s="9">
        <f>SQRT(E38^2*(1+(($D$2*C40)/(PI()*E38^2)^2)))</f>
        <v>2.278714179306905</v>
      </c>
    </row>
    <row r="41" spans="1:11" ht="12.75">
      <c r="A41" s="2" t="s">
        <v>4</v>
      </c>
      <c r="B41" s="12" t="s">
        <v>12</v>
      </c>
      <c r="C41" s="2" t="s">
        <v>2</v>
      </c>
      <c r="D41" s="2" t="s">
        <v>28</v>
      </c>
      <c r="E41" s="2" t="s">
        <v>21</v>
      </c>
      <c r="F41" s="2"/>
      <c r="G41" s="12" t="s">
        <v>13</v>
      </c>
      <c r="H41" s="2" t="s">
        <v>7</v>
      </c>
      <c r="I41" s="2" t="s">
        <v>14</v>
      </c>
      <c r="J41" s="2" t="s">
        <v>15</v>
      </c>
      <c r="K41" s="18" t="s">
        <v>27</v>
      </c>
    </row>
    <row r="42" spans="1:11" ht="12.75">
      <c r="A42" s="1">
        <f>IF(A40="",1,A40+1)</f>
        <v>3</v>
      </c>
      <c r="B42" s="13">
        <v>0</v>
      </c>
      <c r="C42" s="1">
        <v>1000</v>
      </c>
      <c r="D42" s="1">
        <v>5000</v>
      </c>
      <c r="E42" s="3">
        <f>SQRT(($D$2/(2*PI()))*SQRT(C42*(D42*2-C42)))</f>
        <v>0.7127570261662315</v>
      </c>
      <c r="F42" s="3"/>
      <c r="G42" s="15">
        <f>G40</f>
        <v>7517.773390919813</v>
      </c>
      <c r="H42" s="3">
        <f>G42-(C42/2)</f>
        <v>7017.773390919813</v>
      </c>
      <c r="I42" s="3">
        <f>G42/254</f>
        <v>29.597533035117376</v>
      </c>
      <c r="J42" s="3">
        <f>H42/254</f>
        <v>27.629029098109502</v>
      </c>
      <c r="K42" s="9">
        <f>SQRT(E40^2*(1+(($D$2*C42)/(PI()*E40^2)^2)))</f>
        <v>0.8486631658900508</v>
      </c>
    </row>
  </sheetData>
  <mergeCells count="1">
    <mergeCell ref="B2:C2"/>
  </mergeCells>
  <printOptions/>
  <pageMargins left="0.25" right="0.25" top="0.25" bottom="0.25" header="0.5" footer="0.5"/>
  <pageSetup horizontalDpi="300" verticalDpi="300" orientation="landscape" r:id="rId1"/>
</worksheet>
</file>

<file path=xl/worksheets/sheet7.xml><?xml version="1.0" encoding="utf-8"?>
<worksheet xmlns="http://schemas.openxmlformats.org/spreadsheetml/2006/main" xmlns:r="http://schemas.openxmlformats.org/officeDocument/2006/relationships">
  <sheetPr codeName="Sheet10"/>
  <dimension ref="A1:K62"/>
  <sheetViews>
    <sheetView workbookViewId="0" topLeftCell="A1">
      <selection activeCell="A20" sqref="A20"/>
    </sheetView>
  </sheetViews>
  <sheetFormatPr defaultColWidth="9.140625" defaultRowHeight="12.75"/>
  <cols>
    <col min="1" max="1" width="14.8515625" style="0" customWidth="1"/>
    <col min="2" max="2" width="10.28125" style="0" customWidth="1"/>
    <col min="3" max="3" width="10.421875" style="0" customWidth="1"/>
    <col min="4" max="4" width="10.00390625" style="0" customWidth="1"/>
    <col min="5" max="5" width="10.421875" style="0" customWidth="1"/>
    <col min="6" max="6" width="6.8515625" style="0" customWidth="1"/>
    <col min="8" max="8" width="8.140625" style="0" customWidth="1"/>
  </cols>
  <sheetData>
    <row r="1" spans="1:9" ht="12.75" customHeight="1">
      <c r="A1" s="68" t="s">
        <v>20</v>
      </c>
      <c r="B1" s="68"/>
      <c r="D1" s="1"/>
      <c r="E1" s="1"/>
      <c r="F1" s="10"/>
      <c r="G1" s="10"/>
      <c r="H1" s="10"/>
      <c r="I1" s="1"/>
    </row>
    <row r="2" spans="1:9" ht="12.75">
      <c r="A2" s="68"/>
      <c r="B2" s="68"/>
      <c r="C2" s="1" t="s">
        <v>1</v>
      </c>
      <c r="D2" s="1">
        <v>0.001064</v>
      </c>
      <c r="E2" s="1" t="s">
        <v>3</v>
      </c>
      <c r="F2" s="10"/>
      <c r="G2" s="10"/>
      <c r="H2" s="10"/>
      <c r="I2" s="1"/>
    </row>
    <row r="3" spans="1:9" ht="12.75">
      <c r="A3" s="68"/>
      <c r="B3" s="68"/>
      <c r="F3" s="1"/>
      <c r="G3" s="1"/>
      <c r="H3" s="1"/>
      <c r="I3" s="1"/>
    </row>
    <row r="4" spans="1:10" ht="12.75">
      <c r="A4" s="2" t="s">
        <v>17</v>
      </c>
      <c r="B4" s="12" t="s">
        <v>12</v>
      </c>
      <c r="C4" s="8"/>
      <c r="D4" s="2"/>
      <c r="E4" s="2" t="s">
        <v>21</v>
      </c>
      <c r="F4" s="2" t="s">
        <v>8</v>
      </c>
      <c r="G4" s="12" t="s">
        <v>13</v>
      </c>
      <c r="H4" s="2"/>
      <c r="I4" s="2" t="s">
        <v>22</v>
      </c>
      <c r="J4" s="2" t="s">
        <v>23</v>
      </c>
    </row>
    <row r="5" spans="1:10" ht="12.75">
      <c r="A5" s="1"/>
      <c r="B5" s="13">
        <f>G5</f>
        <v>0</v>
      </c>
      <c r="C5" s="9"/>
      <c r="D5" s="3"/>
      <c r="E5" s="7">
        <v>0.18</v>
      </c>
      <c r="F5" s="3"/>
      <c r="G5" s="14">
        <v>0</v>
      </c>
      <c r="H5" s="3"/>
      <c r="I5" s="6">
        <f>G5/25.4</f>
        <v>0</v>
      </c>
      <c r="J5" s="3"/>
    </row>
    <row r="6" spans="1:11" s="4" customFormat="1" ht="12.75">
      <c r="A6" s="2" t="s">
        <v>24</v>
      </c>
      <c r="B6" s="12" t="s">
        <v>12</v>
      </c>
      <c r="C6" s="2" t="s">
        <v>11</v>
      </c>
      <c r="D6" s="2" t="s">
        <v>6</v>
      </c>
      <c r="E6" s="2" t="s">
        <v>21</v>
      </c>
      <c r="F6" s="2" t="s">
        <v>8</v>
      </c>
      <c r="G6" s="12" t="s">
        <v>13</v>
      </c>
      <c r="H6" s="2" t="s">
        <v>7</v>
      </c>
      <c r="I6" s="2" t="s">
        <v>22</v>
      </c>
      <c r="J6" s="2" t="s">
        <v>23</v>
      </c>
      <c r="K6" s="18" t="s">
        <v>27</v>
      </c>
    </row>
    <row r="7" spans="2:11" s="1" customFormat="1" ht="12.75">
      <c r="B7" s="13">
        <f>D7-(E7/E5)*SQRT(D7^2-F7^2)</f>
        <v>-901.8749297150721</v>
      </c>
      <c r="C7" s="3">
        <f>D7-(E5/E7)*SQRT(D7^2-F7^2)</f>
        <v>441.70435620006936</v>
      </c>
      <c r="D7" s="1">
        <v>762.5</v>
      </c>
      <c r="E7" s="7">
        <v>0.41</v>
      </c>
      <c r="F7" s="3">
        <f>PI()*E7*E5/$D$2</f>
        <v>217.90370097267544</v>
      </c>
      <c r="G7" s="15">
        <f>G5+B7+C7</f>
        <v>-460.17057351500273</v>
      </c>
      <c r="H7" s="6">
        <f>G5+C7</f>
        <v>441.70435620006936</v>
      </c>
      <c r="I7" s="6">
        <f>G7/25.4</f>
        <v>-18.116951713189085</v>
      </c>
      <c r="J7" s="6">
        <f>H7/25.4</f>
        <v>17.3899352834673</v>
      </c>
      <c r="K7" s="9">
        <f>SQRT(E5^2*(1+(($D$2*C7)/(PI()*E5^2)^2)))</f>
        <v>1.22560170048035</v>
      </c>
    </row>
    <row r="8" spans="1:11" s="4" customFormat="1" ht="12.75">
      <c r="A8" s="2" t="s">
        <v>5</v>
      </c>
      <c r="B8" s="12" t="s">
        <v>12</v>
      </c>
      <c r="C8" s="2" t="s">
        <v>11</v>
      </c>
      <c r="D8" s="2" t="s">
        <v>6</v>
      </c>
      <c r="E8" s="2" t="s">
        <v>21</v>
      </c>
      <c r="F8" s="2" t="s">
        <v>8</v>
      </c>
      <c r="G8" s="12" t="s">
        <v>13</v>
      </c>
      <c r="H8" s="2" t="s">
        <v>7</v>
      </c>
      <c r="I8" s="2" t="s">
        <v>22</v>
      </c>
      <c r="J8" s="2" t="s">
        <v>23</v>
      </c>
      <c r="K8" s="18" t="s">
        <v>27</v>
      </c>
    </row>
    <row r="9" spans="2:11" s="1" customFormat="1" ht="12.75">
      <c r="B9" s="13">
        <f>D9+(E9/E7)*SQRT(D9^2-F9^2)</f>
        <v>1341.3407543145258</v>
      </c>
      <c r="C9" s="3">
        <f>D9+(E7/E9)*SQRT(D9^2-F9^2)</f>
        <v>1341.3407543145258</v>
      </c>
      <c r="D9" s="1">
        <v>762.5</v>
      </c>
      <c r="E9" s="7">
        <v>0.41</v>
      </c>
      <c r="F9" s="3">
        <f>PI()*E9*E7/$D$2</f>
        <v>496.33620777109405</v>
      </c>
      <c r="G9" s="15">
        <f>G7+B9+C9</f>
        <v>2222.510935114049</v>
      </c>
      <c r="H9" s="6">
        <f>G7+C9</f>
        <v>881.1701807995231</v>
      </c>
      <c r="I9" s="6">
        <f>G9/25.4</f>
        <v>87.50043051630115</v>
      </c>
      <c r="J9" s="6">
        <f>H9/25.4</f>
        <v>34.69173940155603</v>
      </c>
      <c r="K9" s="9">
        <f>SQRT(E7^2*(1+(($D$2*C9)/(PI()*E7^2)^2)))</f>
        <v>1.0140648080181778</v>
      </c>
    </row>
    <row r="10" spans="1:11" ht="12.75">
      <c r="A10" s="2" t="s">
        <v>19</v>
      </c>
      <c r="B10" s="12" t="s">
        <v>12</v>
      </c>
      <c r="C10" s="2" t="s">
        <v>16</v>
      </c>
      <c r="D10" s="2" t="s">
        <v>10</v>
      </c>
      <c r="E10" s="2" t="s">
        <v>21</v>
      </c>
      <c r="F10" s="2" t="s">
        <v>8</v>
      </c>
      <c r="G10" s="12" t="s">
        <v>13</v>
      </c>
      <c r="H10" s="2" t="s">
        <v>7</v>
      </c>
      <c r="I10" s="2" t="s">
        <v>22</v>
      </c>
      <c r="J10" s="2" t="s">
        <v>23</v>
      </c>
      <c r="K10" s="18" t="s">
        <v>27</v>
      </c>
    </row>
    <row r="11" spans="1:11" ht="12.75">
      <c r="A11" s="1">
        <v>50.8</v>
      </c>
      <c r="B11" s="13">
        <f>(D11-SQRT(D11^2-F11^2))</f>
        <v>439.58171754005787</v>
      </c>
      <c r="C11" s="3">
        <f>2*B11</f>
        <v>879.1634350801157</v>
      </c>
      <c r="D11" s="1">
        <v>500</v>
      </c>
      <c r="E11" s="3">
        <f>E9</f>
        <v>0.41</v>
      </c>
      <c r="F11" s="3">
        <f>PI()*E11*E11/$D$2</f>
        <v>496.33620777109405</v>
      </c>
      <c r="G11" s="15">
        <f>G9</f>
        <v>2222.510935114049</v>
      </c>
      <c r="H11" s="6">
        <f>SQRT((B11-A11)^2-A11^2)</f>
        <v>385.4485489574417</v>
      </c>
      <c r="I11" s="6">
        <f>G11/25.4</f>
        <v>87.50043051630115</v>
      </c>
      <c r="J11" s="6">
        <f>H11/25.4</f>
        <v>15.175139722733926</v>
      </c>
      <c r="K11" s="9">
        <f>SQRT(E9^2*(1+(($D$2*C11)/(PI()*E9^2)^2)))</f>
        <v>0.8555257424901807</v>
      </c>
    </row>
    <row r="12" spans="1:10" s="16" customFormat="1" ht="12.75">
      <c r="A12" s="7"/>
      <c r="B12" s="7"/>
      <c r="C12" s="7"/>
      <c r="D12" s="7"/>
      <c r="E12" s="7"/>
      <c r="F12" s="7"/>
      <c r="G12" s="11"/>
      <c r="H12" s="11"/>
      <c r="I12" s="11"/>
      <c r="J12" s="11"/>
    </row>
    <row r="13" spans="1:10" ht="12.75">
      <c r="A13" s="2" t="s">
        <v>17</v>
      </c>
      <c r="B13" s="12" t="s">
        <v>12</v>
      </c>
      <c r="C13" s="8"/>
      <c r="D13" s="2"/>
      <c r="E13" s="2" t="s">
        <v>21</v>
      </c>
      <c r="F13" s="2" t="s">
        <v>8</v>
      </c>
      <c r="G13" s="12" t="s">
        <v>13</v>
      </c>
      <c r="H13" s="2"/>
      <c r="I13" s="2" t="s">
        <v>22</v>
      </c>
      <c r="J13" s="2" t="s">
        <v>23</v>
      </c>
    </row>
    <row r="14" spans="1:10" ht="12.75">
      <c r="A14" s="1"/>
      <c r="B14" s="13">
        <f>G14</f>
        <v>0</v>
      </c>
      <c r="C14" s="9"/>
      <c r="D14" s="3"/>
      <c r="E14" s="7">
        <v>0.18</v>
      </c>
      <c r="F14" s="3"/>
      <c r="G14" s="14">
        <v>0</v>
      </c>
      <c r="H14" s="3"/>
      <c r="I14" s="6">
        <f>G14/25.4</f>
        <v>0</v>
      </c>
      <c r="J14" s="3"/>
    </row>
    <row r="15" spans="1:11" s="4" customFormat="1" ht="12.75">
      <c r="A15" s="2" t="s">
        <v>24</v>
      </c>
      <c r="B15" s="12" t="s">
        <v>12</v>
      </c>
      <c r="C15" s="2" t="s">
        <v>11</v>
      </c>
      <c r="D15" s="2" t="s">
        <v>6</v>
      </c>
      <c r="E15" s="2" t="s">
        <v>21</v>
      </c>
      <c r="F15" s="2" t="s">
        <v>8</v>
      </c>
      <c r="G15" s="12" t="s">
        <v>13</v>
      </c>
      <c r="H15" s="2" t="s">
        <v>7</v>
      </c>
      <c r="I15" s="2" t="s">
        <v>22</v>
      </c>
      <c r="J15" s="2" t="s">
        <v>23</v>
      </c>
      <c r="K15" s="18" t="s">
        <v>27</v>
      </c>
    </row>
    <row r="16" spans="2:11" s="1" customFormat="1" ht="12.75">
      <c r="B16" s="13">
        <f>D16-(E16/E14)*SQRT(D16^2-F16^2)</f>
        <v>-480.23956327142446</v>
      </c>
      <c r="C16" s="3">
        <f>D16-(E14/E16)*SQRT(D16^2-F16^2)</f>
        <v>315.11375722228723</v>
      </c>
      <c r="D16" s="1">
        <v>762.5</v>
      </c>
      <c r="E16" s="7">
        <v>0.3</v>
      </c>
      <c r="F16" s="3">
        <f>PI()*E16*E14/$D$2</f>
        <v>159.44173241903084</v>
      </c>
      <c r="G16" s="15">
        <f>G14+B16+C16</f>
        <v>-165.12580604913722</v>
      </c>
      <c r="H16" s="6">
        <f>G14+C16</f>
        <v>315.11375722228723</v>
      </c>
      <c r="I16" s="6">
        <f>G16/25.4</f>
        <v>-6.501015986186506</v>
      </c>
      <c r="J16" s="6">
        <f>H16/25.4</f>
        <v>12.406053433948317</v>
      </c>
      <c r="K16" s="9">
        <f>SQRT(E14^2*(1+(($D$2*C16)/(PI()*E14^2)^2)))</f>
        <v>1.0396585323655845</v>
      </c>
    </row>
    <row r="17" spans="1:11" ht="12.75">
      <c r="A17" s="2" t="s">
        <v>5</v>
      </c>
      <c r="B17" s="12" t="s">
        <v>12</v>
      </c>
      <c r="C17" s="2" t="s">
        <v>11</v>
      </c>
      <c r="D17" s="2" t="s">
        <v>6</v>
      </c>
      <c r="E17" s="2" t="s">
        <v>21</v>
      </c>
      <c r="F17" s="2" t="s">
        <v>8</v>
      </c>
      <c r="G17" s="12" t="s">
        <v>13</v>
      </c>
      <c r="H17" s="2" t="s">
        <v>7</v>
      </c>
      <c r="I17" s="2" t="s">
        <v>22</v>
      </c>
      <c r="J17" s="2" t="s">
        <v>23</v>
      </c>
      <c r="K17" s="18" t="s">
        <v>27</v>
      </c>
    </row>
    <row r="18" spans="1:11" ht="12.75">
      <c r="A18" s="1"/>
      <c r="B18" s="13">
        <f>D18+(E18/E16)*SQRT(D18^2-F18^2)</f>
        <v>1796.9770813599982</v>
      </c>
      <c r="C18" s="3">
        <f>D18+(E16/E18)*SQRT(D18^2-F18^2)</f>
        <v>1134.9117492895994</v>
      </c>
      <c r="D18" s="1">
        <v>762.5</v>
      </c>
      <c r="E18" s="7">
        <v>0.5</v>
      </c>
      <c r="F18" s="3">
        <f>PI()*E18*E16/$D$2</f>
        <v>442.8937011639746</v>
      </c>
      <c r="G18" s="15">
        <f>G16+B18+C18</f>
        <v>2766.76302460046</v>
      </c>
      <c r="H18" s="6">
        <f>G16+C18</f>
        <v>969.7859432404621</v>
      </c>
      <c r="I18" s="6">
        <f>G18/25.4</f>
        <v>108.92767813387638</v>
      </c>
      <c r="J18" s="6">
        <f>H18/25.4</f>
        <v>38.180548946474886</v>
      </c>
      <c r="K18" s="9">
        <f>SQRT(E16^2*(1+(($D$2*C18)/(PI()*E16^2)^2)))</f>
        <v>1.2039287551860547</v>
      </c>
    </row>
    <row r="19" spans="1:11" ht="12.75">
      <c r="A19" s="2" t="s">
        <v>19</v>
      </c>
      <c r="B19" s="12" t="s">
        <v>12</v>
      </c>
      <c r="C19" s="2" t="s">
        <v>16</v>
      </c>
      <c r="D19" s="2" t="s">
        <v>10</v>
      </c>
      <c r="E19" s="2" t="s">
        <v>21</v>
      </c>
      <c r="F19" s="2" t="s">
        <v>8</v>
      </c>
      <c r="G19" s="12" t="s">
        <v>13</v>
      </c>
      <c r="H19" s="2" t="s">
        <v>7</v>
      </c>
      <c r="I19" s="2" t="s">
        <v>22</v>
      </c>
      <c r="J19" s="2" t="s">
        <v>23</v>
      </c>
      <c r="K19" s="18" t="s">
        <v>27</v>
      </c>
    </row>
    <row r="20" spans="1:11" ht="12.75">
      <c r="A20" s="1">
        <v>200</v>
      </c>
      <c r="B20" s="13">
        <f>D20-SQRT(D20^2-F20^2)</f>
        <v>1118.1312531679928</v>
      </c>
      <c r="C20" s="3">
        <f>2*B20</f>
        <v>2236.2625063359856</v>
      </c>
      <c r="D20" s="1">
        <v>2500</v>
      </c>
      <c r="E20" s="3">
        <v>0.84</v>
      </c>
      <c r="F20" s="3">
        <f>PI()*E20*E20/$D$2</f>
        <v>2083.3719702753365</v>
      </c>
      <c r="G20" s="15">
        <f>G18</f>
        <v>2766.76302460046</v>
      </c>
      <c r="H20" s="6">
        <f>SQRT((B20-A20)^2-A20^2)</f>
        <v>896.0831423723074</v>
      </c>
      <c r="I20" s="6">
        <f>G20/25.4</f>
        <v>108.92767813387638</v>
      </c>
      <c r="J20" s="6">
        <f>H20/25.4</f>
        <v>35.27886387292549</v>
      </c>
      <c r="K20" s="9">
        <f>SQRT(E18^2*(1+(($D$2*C20)/(PI()*E18^2)^2)))</f>
        <v>1.1019653950607837</v>
      </c>
    </row>
    <row r="21" spans="1:10" s="16" customFormat="1" ht="12.75">
      <c r="A21" s="7"/>
      <c r="B21" s="7"/>
      <c r="C21" s="7"/>
      <c r="D21" s="7"/>
      <c r="E21" s="7"/>
      <c r="F21" s="7"/>
      <c r="G21" s="11"/>
      <c r="H21" s="11"/>
      <c r="I21" s="11"/>
      <c r="J21" s="11" t="s">
        <v>26</v>
      </c>
    </row>
    <row r="22" spans="1:10" ht="12.75">
      <c r="A22" s="2" t="s">
        <v>17</v>
      </c>
      <c r="B22" s="12" t="s">
        <v>12</v>
      </c>
      <c r="C22" s="8"/>
      <c r="D22" s="2"/>
      <c r="E22" s="2" t="s">
        <v>21</v>
      </c>
      <c r="F22" s="2" t="s">
        <v>8</v>
      </c>
      <c r="G22" s="12" t="s">
        <v>13</v>
      </c>
      <c r="H22" s="2"/>
      <c r="I22" s="2" t="s">
        <v>22</v>
      </c>
      <c r="J22" s="2" t="s">
        <v>23</v>
      </c>
    </row>
    <row r="23" spans="1:10" ht="12.75">
      <c r="A23" s="1"/>
      <c r="B23" s="13">
        <f>G23</f>
        <v>0</v>
      </c>
      <c r="C23" s="9"/>
      <c r="D23" s="3"/>
      <c r="E23" s="7">
        <v>0.18</v>
      </c>
      <c r="F23" s="3"/>
      <c r="G23" s="14">
        <v>0</v>
      </c>
      <c r="H23" s="3"/>
      <c r="I23" s="6">
        <f>G23/25.4</f>
        <v>0</v>
      </c>
      <c r="J23" s="3"/>
    </row>
    <row r="24" spans="1:11" s="4" customFormat="1" ht="12.75">
      <c r="A24" s="2" t="s">
        <v>5</v>
      </c>
      <c r="B24" s="12" t="s">
        <v>12</v>
      </c>
      <c r="C24" s="2" t="s">
        <v>11</v>
      </c>
      <c r="D24" s="2" t="s">
        <v>6</v>
      </c>
      <c r="E24" s="2" t="s">
        <v>21</v>
      </c>
      <c r="F24" s="2" t="s">
        <v>8</v>
      </c>
      <c r="G24" s="12" t="s">
        <v>13</v>
      </c>
      <c r="H24" s="2" t="s">
        <v>7</v>
      </c>
      <c r="I24" s="2" t="s">
        <v>22</v>
      </c>
      <c r="J24" s="2" t="s">
        <v>23</v>
      </c>
      <c r="K24" s="18" t="s">
        <v>27</v>
      </c>
    </row>
    <row r="25" spans="2:11" s="1" customFormat="1" ht="12.75">
      <c r="B25" s="13">
        <f>D25+(E25/E23)*SQRT(D25^2-F25^2)</f>
        <v>555.6951909578542</v>
      </c>
      <c r="C25" s="3">
        <f>D25+(E23/E25)*SQRT(D25^2-F25^2)</f>
        <v>313.072337733407</v>
      </c>
      <c r="D25" s="1">
        <v>254.2</v>
      </c>
      <c r="E25" s="7">
        <v>0.40734</v>
      </c>
      <c r="F25" s="3">
        <f>PI()*E25*E23/$D$2</f>
        <v>216.48998427856003</v>
      </c>
      <c r="G25" s="15">
        <f>G23+B25+C25</f>
        <v>868.7675286912611</v>
      </c>
      <c r="H25" s="6">
        <f>G23+C25</f>
        <v>313.072337733407</v>
      </c>
      <c r="I25" s="6">
        <f>G25/25.4</f>
        <v>34.20344601146697</v>
      </c>
      <c r="J25" s="6">
        <f>H25/25.4</f>
        <v>12.325682587929409</v>
      </c>
      <c r="K25" s="9">
        <f>SQRT(E23^2*(1+(($D$2*C25)/(PI()*E23^2)^2)))</f>
        <v>1.0363866903936176</v>
      </c>
    </row>
    <row r="26" spans="1:11" ht="12.75">
      <c r="A26" s="2" t="s">
        <v>19</v>
      </c>
      <c r="B26" s="12" t="s">
        <v>12</v>
      </c>
      <c r="C26" s="2" t="s">
        <v>16</v>
      </c>
      <c r="D26" s="2" t="s">
        <v>10</v>
      </c>
      <c r="E26" s="2" t="s">
        <v>21</v>
      </c>
      <c r="F26" s="2" t="s">
        <v>8</v>
      </c>
      <c r="G26" s="12" t="s">
        <v>13</v>
      </c>
      <c r="H26" s="2" t="s">
        <v>7</v>
      </c>
      <c r="I26" s="2" t="s">
        <v>22</v>
      </c>
      <c r="J26" s="2" t="s">
        <v>23</v>
      </c>
      <c r="K26" s="18" t="s">
        <v>27</v>
      </c>
    </row>
    <row r="27" spans="1:11" ht="12.75">
      <c r="A27" s="1">
        <v>50.8</v>
      </c>
      <c r="B27" s="13">
        <f>D27-SQRT(D27^2-F27^2)</f>
        <v>400.09256609464495</v>
      </c>
      <c r="C27" s="3">
        <f>2*B27</f>
        <v>800.1851321892899</v>
      </c>
      <c r="D27" s="1">
        <v>500</v>
      </c>
      <c r="E27" s="7">
        <v>0.40734</v>
      </c>
      <c r="F27" s="3">
        <f>PI()*E27*E27/$D$2</f>
        <v>489.91683442238144</v>
      </c>
      <c r="G27" s="15">
        <f>G25</f>
        <v>868.7675286912611</v>
      </c>
      <c r="H27" s="6">
        <f>SQRT((B27-A27)^2-A27^2)</f>
        <v>345.5787272518115</v>
      </c>
      <c r="I27" s="6">
        <f>G27/25.4</f>
        <v>34.20344601146697</v>
      </c>
      <c r="J27" s="6">
        <f>H27/25.4</f>
        <v>13.605461702827224</v>
      </c>
      <c r="K27" s="9">
        <f>SQRT(E25^2*(1+(($D$2*C27)/(PI()*E25^2)^2)))</f>
        <v>0.8281449087237808</v>
      </c>
    </row>
    <row r="28" spans="1:10" s="16" customFormat="1" ht="12.75">
      <c r="A28" s="7"/>
      <c r="B28" s="7"/>
      <c r="C28" s="7"/>
      <c r="D28" s="7"/>
      <c r="E28" s="7"/>
      <c r="F28" s="7"/>
      <c r="G28" s="11"/>
      <c r="H28" s="11"/>
      <c r="I28" s="11"/>
      <c r="J28" s="11"/>
    </row>
    <row r="29" spans="1:10" ht="12.75">
      <c r="A29" s="2" t="s">
        <v>17</v>
      </c>
      <c r="B29" s="12" t="s">
        <v>12</v>
      </c>
      <c r="C29" s="8"/>
      <c r="D29" s="2"/>
      <c r="E29" s="2" t="s">
        <v>21</v>
      </c>
      <c r="F29" s="2" t="s">
        <v>8</v>
      </c>
      <c r="G29" s="12" t="s">
        <v>13</v>
      </c>
      <c r="H29" s="2"/>
      <c r="I29" s="2" t="s">
        <v>22</v>
      </c>
      <c r="J29" s="2" t="s">
        <v>23</v>
      </c>
    </row>
    <row r="30" spans="1:10" ht="12.75">
      <c r="A30" s="1"/>
      <c r="B30" s="13">
        <f>G30</f>
        <v>0</v>
      </c>
      <c r="C30" s="9"/>
      <c r="D30" s="3"/>
      <c r="E30" s="7">
        <v>0.18</v>
      </c>
      <c r="F30" s="3"/>
      <c r="G30" s="14">
        <v>0</v>
      </c>
      <c r="H30" s="3"/>
      <c r="I30" s="6">
        <f>G30/25.4</f>
        <v>0</v>
      </c>
      <c r="J30" s="3"/>
    </row>
    <row r="31" spans="1:11" s="4" customFormat="1" ht="12.75">
      <c r="A31" s="2" t="s">
        <v>5</v>
      </c>
      <c r="B31" s="12" t="s">
        <v>12</v>
      </c>
      <c r="C31" s="2" t="s">
        <v>11</v>
      </c>
      <c r="D31" s="2" t="s">
        <v>6</v>
      </c>
      <c r="E31" s="2" t="s">
        <v>21</v>
      </c>
      <c r="F31" s="2" t="s">
        <v>8</v>
      </c>
      <c r="G31" s="12" t="s">
        <v>13</v>
      </c>
      <c r="H31" s="2" t="s">
        <v>7</v>
      </c>
      <c r="I31" s="2" t="s">
        <v>22</v>
      </c>
      <c r="J31" s="2" t="s">
        <v>23</v>
      </c>
      <c r="K31" s="18" t="s">
        <v>27</v>
      </c>
    </row>
    <row r="32" spans="2:11" s="1" customFormat="1" ht="12.75">
      <c r="B32" s="13">
        <f>D32+(E32/E30)*SQRT(D32^2-F32^2)</f>
        <v>550.39075805013</v>
      </c>
      <c r="C32" s="3">
        <f>D32+(E30/E32)*SQRT(D32^2-F32^2)</f>
        <v>310.87032805834247</v>
      </c>
      <c r="D32" s="1">
        <v>254.2</v>
      </c>
      <c r="E32" s="7">
        <v>0.41151</v>
      </c>
      <c r="F32" s="3">
        <f>PI()*E32*E30/$D$2</f>
        <v>218.7062243591846</v>
      </c>
      <c r="G32" s="15">
        <f>G30+B32+C32</f>
        <v>861.2610861084725</v>
      </c>
      <c r="H32" s="6">
        <f>G30+C32</f>
        <v>310.87032805834247</v>
      </c>
      <c r="I32" s="6">
        <f>G32/25.4</f>
        <v>33.907916775924114</v>
      </c>
      <c r="J32" s="6">
        <f>H32/25.4</f>
        <v>12.23898929363553</v>
      </c>
      <c r="K32" s="9">
        <f>SQRT(E30^2*(1+(($D$2*C32)/(PI()*E30^2)^2)))</f>
        <v>1.0328458463677443</v>
      </c>
    </row>
    <row r="33" spans="1:11" ht="12.75">
      <c r="A33" s="2" t="s">
        <v>19</v>
      </c>
      <c r="B33" s="12" t="s">
        <v>12</v>
      </c>
      <c r="C33" s="2" t="s">
        <v>16</v>
      </c>
      <c r="D33" s="2" t="s">
        <v>10</v>
      </c>
      <c r="E33" s="2" t="s">
        <v>21</v>
      </c>
      <c r="F33" s="2" t="s">
        <v>8</v>
      </c>
      <c r="G33" s="12" t="s">
        <v>13</v>
      </c>
      <c r="H33" s="2" t="s">
        <v>7</v>
      </c>
      <c r="I33" s="2" t="s">
        <v>22</v>
      </c>
      <c r="J33" s="2" t="s">
        <v>23</v>
      </c>
      <c r="K33" s="18" t="s">
        <v>27</v>
      </c>
    </row>
    <row r="34" spans="1:11" ht="12.75">
      <c r="A34" s="1">
        <v>50.8</v>
      </c>
      <c r="B34" s="13">
        <f>D34-SQRT(D34^2-F34^2)</f>
        <v>499.6152281810834</v>
      </c>
      <c r="C34" s="3">
        <f>2*B34</f>
        <v>999.2304563621668</v>
      </c>
      <c r="D34" s="1">
        <v>500</v>
      </c>
      <c r="E34" s="7">
        <v>0.4115104</v>
      </c>
      <c r="F34" s="3">
        <f>PI()*E34*E34/$D$2</f>
        <v>499.99985195062544</v>
      </c>
      <c r="G34" s="15">
        <f>G32</f>
        <v>861.2610861084725</v>
      </c>
      <c r="H34" s="6">
        <f>SQRT((B34-A34)^2-A34^2)</f>
        <v>445.9310137759404</v>
      </c>
      <c r="I34" s="6">
        <f>G34/25.4</f>
        <v>33.907916775924114</v>
      </c>
      <c r="J34" s="6">
        <f>H34/25.4</f>
        <v>17.556339125037024</v>
      </c>
      <c r="K34" s="9">
        <f>SQRT(E32^2*(1+(($D$2*C34)/(PI()*E32^2)^2)))</f>
        <v>0.8974807913291193</v>
      </c>
    </row>
    <row r="35" spans="1:10" s="5" customFormat="1" ht="12.75">
      <c r="A35" s="7"/>
      <c r="B35" s="7"/>
      <c r="C35" s="7"/>
      <c r="D35" s="7"/>
      <c r="E35" s="7"/>
      <c r="F35" s="7"/>
      <c r="G35" s="11"/>
      <c r="H35" s="11"/>
      <c r="I35" s="11"/>
      <c r="J35" s="11"/>
    </row>
    <row r="36" spans="1:10" ht="12.75">
      <c r="A36" s="2" t="s">
        <v>17</v>
      </c>
      <c r="B36" s="12" t="s">
        <v>12</v>
      </c>
      <c r="C36" s="8"/>
      <c r="D36" s="2"/>
      <c r="E36" s="2" t="s">
        <v>21</v>
      </c>
      <c r="F36" s="2" t="s">
        <v>8</v>
      </c>
      <c r="G36" s="12" t="s">
        <v>13</v>
      </c>
      <c r="H36" s="2"/>
      <c r="I36" s="2" t="s">
        <v>22</v>
      </c>
      <c r="J36" s="2" t="s">
        <v>23</v>
      </c>
    </row>
    <row r="37" spans="1:10" ht="12.75">
      <c r="A37" s="1"/>
      <c r="B37" s="13">
        <f>G37</f>
        <v>0</v>
      </c>
      <c r="C37" s="9"/>
      <c r="D37" s="3"/>
      <c r="E37" s="7">
        <v>0.18</v>
      </c>
      <c r="F37" s="3"/>
      <c r="G37" s="14">
        <v>0</v>
      </c>
      <c r="H37" s="3"/>
      <c r="I37" s="6">
        <f>G37/25.4</f>
        <v>0</v>
      </c>
      <c r="J37" s="3"/>
    </row>
    <row r="38" spans="1:11" s="4" customFormat="1" ht="12.75">
      <c r="A38" s="2" t="s">
        <v>5</v>
      </c>
      <c r="B38" s="12" t="s">
        <v>12</v>
      </c>
      <c r="C38" s="2" t="s">
        <v>11</v>
      </c>
      <c r="D38" s="2" t="s">
        <v>6</v>
      </c>
      <c r="E38" s="2" t="s">
        <v>21</v>
      </c>
      <c r="F38" s="2" t="s">
        <v>8</v>
      </c>
      <c r="G38" s="12" t="s">
        <v>13</v>
      </c>
      <c r="H38" s="2" t="s">
        <v>7</v>
      </c>
      <c r="I38" s="2" t="s">
        <v>22</v>
      </c>
      <c r="J38" s="2" t="s">
        <v>23</v>
      </c>
      <c r="K38" s="18" t="s">
        <v>27</v>
      </c>
    </row>
    <row r="39" spans="2:11" s="1" customFormat="1" ht="12.75">
      <c r="B39" s="13">
        <f>D39+(E39/E37)*SQRT(D39^2-F39^2)</f>
        <v>550.3902255153156</v>
      </c>
      <c r="C39" s="3">
        <f>D39+(E37/E39)*SQRT(D39^2-F39^2)</f>
        <v>310.87011599804487</v>
      </c>
      <c r="D39" s="1">
        <v>254.2</v>
      </c>
      <c r="E39" s="7">
        <v>0.4115104</v>
      </c>
      <c r="F39" s="3">
        <f>PI()*E39*E37/$D$2</f>
        <v>218.70643694816115</v>
      </c>
      <c r="G39" s="15">
        <f>G37+B39+C39</f>
        <v>861.2603415133605</v>
      </c>
      <c r="H39" s="6">
        <f>G37+C39</f>
        <v>310.87011599804487</v>
      </c>
      <c r="I39" s="6">
        <f>G39/25.4</f>
        <v>33.90788746115592</v>
      </c>
      <c r="J39" s="6">
        <f>H39/25.4</f>
        <v>12.238980944804917</v>
      </c>
      <c r="K39" s="9">
        <f>SQRT(E37^2*(1+(($D$2*C39)/(PI()*E37^2)^2)))</f>
        <v>1.0328455047890237</v>
      </c>
    </row>
    <row r="40" spans="1:11" s="1" customFormat="1" ht="12.75">
      <c r="A40" s="2" t="s">
        <v>18</v>
      </c>
      <c r="B40" s="12" t="s">
        <v>12</v>
      </c>
      <c r="C40" s="2" t="s">
        <v>16</v>
      </c>
      <c r="D40" s="2" t="s">
        <v>10</v>
      </c>
      <c r="E40" s="2" t="s">
        <v>21</v>
      </c>
      <c r="F40" s="2" t="s">
        <v>8</v>
      </c>
      <c r="G40" s="12" t="s">
        <v>13</v>
      </c>
      <c r="H40" s="2" t="s">
        <v>7</v>
      </c>
      <c r="I40" s="2" t="s">
        <v>22</v>
      </c>
      <c r="J40" s="2" t="s">
        <v>23</v>
      </c>
      <c r="K40" s="18" t="s">
        <v>27</v>
      </c>
    </row>
    <row r="41" spans="1:11" s="1" customFormat="1" ht="12.75">
      <c r="A41" s="1">
        <v>50.8</v>
      </c>
      <c r="B41" s="13">
        <f>D41+SQRT(D41^2-F41^2)</f>
        <v>500.3847718189166</v>
      </c>
      <c r="C41" s="3">
        <f>2*(D41+SQRT(D41^2-F41^2))</f>
        <v>1000.7695436378332</v>
      </c>
      <c r="D41" s="1">
        <v>500</v>
      </c>
      <c r="E41" s="7">
        <v>0.4115104</v>
      </c>
      <c r="F41" s="3">
        <f>PI()*E41*E41/$D$2</f>
        <v>499.99985195062544</v>
      </c>
      <c r="G41" s="15">
        <f>G39</f>
        <v>861.2603415133605</v>
      </c>
      <c r="H41" s="6">
        <f>SQRT((B41-A41)^2-A41^2)</f>
        <v>446.70552610357</v>
      </c>
      <c r="I41" s="6">
        <f>G41/25.4</f>
        <v>33.90788746115592</v>
      </c>
      <c r="J41" s="6">
        <f>H41/25.4</f>
        <v>17.586831736361024</v>
      </c>
      <c r="K41" s="9">
        <f>SQRT(E39^2*(1+(($D$2*C41)/(PI()*E39^2)^2)))</f>
        <v>0.8980259890552837</v>
      </c>
    </row>
    <row r="42" spans="1:10" s="5" customFormat="1" ht="12.75">
      <c r="A42" s="7"/>
      <c r="B42" s="7"/>
      <c r="C42" s="7"/>
      <c r="D42" s="7"/>
      <c r="E42" s="7"/>
      <c r="F42" s="7"/>
      <c r="G42" s="11"/>
      <c r="H42" s="11"/>
      <c r="I42" s="11"/>
      <c r="J42" s="11"/>
    </row>
    <row r="43" spans="1:10" ht="12.75">
      <c r="A43" s="2" t="s">
        <v>17</v>
      </c>
      <c r="B43" s="12" t="s">
        <v>12</v>
      </c>
      <c r="C43" s="8"/>
      <c r="D43" s="2"/>
      <c r="E43" s="2" t="s">
        <v>21</v>
      </c>
      <c r="F43" s="2" t="s">
        <v>8</v>
      </c>
      <c r="G43" s="12" t="s">
        <v>13</v>
      </c>
      <c r="H43" s="2"/>
      <c r="I43" s="2" t="s">
        <v>22</v>
      </c>
      <c r="J43" s="2" t="s">
        <v>23</v>
      </c>
    </row>
    <row r="44" spans="1:10" ht="12.75">
      <c r="A44" s="1"/>
      <c r="B44" s="13">
        <f>G44</f>
        <v>0</v>
      </c>
      <c r="C44" s="9"/>
      <c r="D44" s="3"/>
      <c r="E44" s="7">
        <v>0.18</v>
      </c>
      <c r="F44" s="3"/>
      <c r="G44" s="14">
        <v>0</v>
      </c>
      <c r="H44" s="3"/>
      <c r="I44" s="6">
        <f>G44/25.4</f>
        <v>0</v>
      </c>
      <c r="J44" s="3"/>
    </row>
    <row r="45" spans="1:11" s="4" customFormat="1" ht="12.75">
      <c r="A45" s="2" t="s">
        <v>5</v>
      </c>
      <c r="B45" s="12" t="s">
        <v>12</v>
      </c>
      <c r="C45" s="2" t="s">
        <v>11</v>
      </c>
      <c r="D45" s="2" t="s">
        <v>6</v>
      </c>
      <c r="E45" s="2" t="s">
        <v>21</v>
      </c>
      <c r="F45" s="2" t="s">
        <v>8</v>
      </c>
      <c r="G45" s="12" t="s">
        <v>13</v>
      </c>
      <c r="H45" s="2" t="s">
        <v>7</v>
      </c>
      <c r="I45" s="2" t="s">
        <v>22</v>
      </c>
      <c r="J45" s="2" t="s">
        <v>23</v>
      </c>
      <c r="K45" s="18" t="s">
        <v>27</v>
      </c>
    </row>
    <row r="46" spans="2:11" s="1" customFormat="1" ht="12.75">
      <c r="B46" s="13">
        <f>D46+(E46/E44)*SQRT(D46^2-F46^2)</f>
        <v>555.7437379565768</v>
      </c>
      <c r="C46" s="3">
        <f>D46+(E44/E46)*SQRT(D46^2-F46^2)</f>
        <v>313.0933832694082</v>
      </c>
      <c r="D46" s="1">
        <v>254.2</v>
      </c>
      <c r="E46" s="7">
        <v>0.4073</v>
      </c>
      <c r="F46" s="3">
        <f>PI()*E46*E44/$D$2</f>
        <v>216.4687253809042</v>
      </c>
      <c r="G46" s="15">
        <f>G44+B46+C46</f>
        <v>868.8371212259849</v>
      </c>
      <c r="H46" s="6">
        <f>G44+C46</f>
        <v>313.0933832694082</v>
      </c>
      <c r="I46" s="6">
        <f>G46/25.4</f>
        <v>34.20618587503878</v>
      </c>
      <c r="J46" s="6">
        <f>H46/25.4</f>
        <v>12.326511152338906</v>
      </c>
      <c r="K46" s="9">
        <f>SQRT(E44^2*(1+(($D$2*C46)/(PI()*E44^2)^2)))</f>
        <v>1.0364204733741202</v>
      </c>
    </row>
    <row r="47" spans="1:11" s="1" customFormat="1" ht="12.75">
      <c r="A47" s="2" t="s">
        <v>18</v>
      </c>
      <c r="B47" s="12" t="s">
        <v>12</v>
      </c>
      <c r="C47" s="2" t="s">
        <v>16</v>
      </c>
      <c r="D47" s="2" t="s">
        <v>10</v>
      </c>
      <c r="E47" s="2" t="s">
        <v>21</v>
      </c>
      <c r="F47" s="2" t="s">
        <v>8</v>
      </c>
      <c r="G47" s="12" t="s">
        <v>13</v>
      </c>
      <c r="H47" s="2" t="s">
        <v>7</v>
      </c>
      <c r="I47" s="2" t="s">
        <v>22</v>
      </c>
      <c r="J47" s="2" t="s">
        <v>23</v>
      </c>
      <c r="K47" s="18" t="s">
        <v>27</v>
      </c>
    </row>
    <row r="48" spans="1:11" s="1" customFormat="1" ht="12.75">
      <c r="A48" s="1">
        <v>50.8</v>
      </c>
      <c r="B48" s="13">
        <f>D48+SQRT(D48^2-F48^2)</f>
        <v>600.3780796540487</v>
      </c>
      <c r="C48" s="3">
        <f>2*(D48+SQRT(D48^2-F48^2))</f>
        <v>1200.7561593080975</v>
      </c>
      <c r="D48" s="1">
        <v>500</v>
      </c>
      <c r="E48" s="7">
        <v>0.4073</v>
      </c>
      <c r="F48" s="3">
        <f>PI()*E48*E48/$D$2</f>
        <v>489.82062137579044</v>
      </c>
      <c r="G48" s="15">
        <f>G46</f>
        <v>868.8371212259849</v>
      </c>
      <c r="H48" s="6">
        <f>SQRT((B48-A48)^2-A48^2)</f>
        <v>547.2252055929368</v>
      </c>
      <c r="I48" s="6">
        <f>G48/25.4</f>
        <v>34.20618587503878</v>
      </c>
      <c r="J48" s="6">
        <f>H48/25.4</f>
        <v>21.54429943279279</v>
      </c>
      <c r="K48" s="9">
        <f>SQRT(E46^2*(1+(($D$2*C48)/(PI()*E46^2)^2)))</f>
        <v>0.9727304717909782</v>
      </c>
    </row>
    <row r="49" spans="1:10" s="5" customFormat="1" ht="12.75">
      <c r="A49" s="7"/>
      <c r="B49" s="7"/>
      <c r="C49" s="7"/>
      <c r="D49" s="7"/>
      <c r="E49" s="7"/>
      <c r="F49" s="7"/>
      <c r="G49" s="11"/>
      <c r="H49" s="11"/>
      <c r="I49" s="11"/>
      <c r="J49" s="11"/>
    </row>
    <row r="50" spans="1:10" ht="12.75">
      <c r="A50" s="2" t="s">
        <v>17</v>
      </c>
      <c r="B50" s="12" t="s">
        <v>12</v>
      </c>
      <c r="C50" s="8"/>
      <c r="D50" s="2"/>
      <c r="E50" s="2" t="s">
        <v>21</v>
      </c>
      <c r="F50" s="2" t="s">
        <v>8</v>
      </c>
      <c r="G50" s="12" t="s">
        <v>13</v>
      </c>
      <c r="H50" s="2"/>
      <c r="I50" s="2" t="s">
        <v>22</v>
      </c>
      <c r="J50" s="2" t="s">
        <v>23</v>
      </c>
    </row>
    <row r="51" spans="1:10" ht="12.75">
      <c r="A51" s="1"/>
      <c r="B51" s="13">
        <f>G51</f>
        <v>0</v>
      </c>
      <c r="C51" s="9"/>
      <c r="D51" s="3"/>
      <c r="E51" s="7">
        <v>0.18</v>
      </c>
      <c r="F51" s="3"/>
      <c r="G51" s="14">
        <v>0</v>
      </c>
      <c r="H51" s="3"/>
      <c r="I51" s="6">
        <f>G51/25.4</f>
        <v>0</v>
      </c>
      <c r="J51" s="3"/>
    </row>
    <row r="52" spans="1:11" s="4" customFormat="1" ht="12.75">
      <c r="A52" s="2" t="s">
        <v>5</v>
      </c>
      <c r="B52" s="12" t="s">
        <v>12</v>
      </c>
      <c r="C52" s="2" t="s">
        <v>11</v>
      </c>
      <c r="D52" s="2" t="s">
        <v>6</v>
      </c>
      <c r="E52" s="2" t="s">
        <v>21</v>
      </c>
      <c r="F52" s="2" t="s">
        <v>8</v>
      </c>
      <c r="G52" s="12" t="s">
        <v>13</v>
      </c>
      <c r="H52" s="2" t="s">
        <v>7</v>
      </c>
      <c r="I52" s="2" t="s">
        <v>22</v>
      </c>
      <c r="J52" s="2" t="s">
        <v>23</v>
      </c>
      <c r="K52" s="18" t="s">
        <v>27</v>
      </c>
    </row>
    <row r="53" spans="2:11" s="1" customFormat="1" ht="12.75">
      <c r="B53" s="13">
        <f>D53+(E53/E51)*SQRT(D53^2-F53^2)</f>
        <v>586.1650048329187</v>
      </c>
      <c r="C53" s="3">
        <f>D53+(E51/E53)*SQRT(D53^2-F53^2)</f>
        <v>333.62215675645797</v>
      </c>
      <c r="D53" s="1">
        <v>254.2</v>
      </c>
      <c r="E53" s="7">
        <v>0.368</v>
      </c>
      <c r="F53" s="3">
        <f>PI()*E53*E51/$D$2</f>
        <v>195.58185843401117</v>
      </c>
      <c r="G53" s="15">
        <f>G51+B53+C53</f>
        <v>919.7871615893766</v>
      </c>
      <c r="H53" s="6">
        <f>G51+C53</f>
        <v>333.62215675645797</v>
      </c>
      <c r="I53" s="6">
        <f>G53/25.4</f>
        <v>36.21209297595971</v>
      </c>
      <c r="J53" s="6">
        <f>H53/25.4</f>
        <v>13.134730580962913</v>
      </c>
      <c r="K53" s="9">
        <f>SQRT(E51^2*(1+(($D$2*C53)/(PI()*E51^2)^2)))</f>
        <v>1.068865547328791</v>
      </c>
    </row>
    <row r="54" spans="1:11" s="1" customFormat="1" ht="12.75">
      <c r="A54" s="2" t="s">
        <v>18</v>
      </c>
      <c r="B54" s="12" t="s">
        <v>12</v>
      </c>
      <c r="C54" s="2" t="s">
        <v>16</v>
      </c>
      <c r="D54" s="2" t="s">
        <v>10</v>
      </c>
      <c r="E54" s="2" t="s">
        <v>21</v>
      </c>
      <c r="F54" s="2" t="s">
        <v>8</v>
      </c>
      <c r="G54" s="12" t="s">
        <v>13</v>
      </c>
      <c r="H54" s="2" t="s">
        <v>7</v>
      </c>
      <c r="I54" s="2" t="s">
        <v>22</v>
      </c>
      <c r="J54" s="2" t="s">
        <v>23</v>
      </c>
      <c r="K54" s="18" t="s">
        <v>27</v>
      </c>
    </row>
    <row r="55" spans="1:11" s="1" customFormat="1" ht="12.75">
      <c r="A55" s="1">
        <v>50.8</v>
      </c>
      <c r="B55" s="13">
        <f>D55+SQRT(D55^2-F55^2)</f>
        <v>800.1915791732994</v>
      </c>
      <c r="C55" s="3">
        <f>2*(D55+SQRT(D55^2-F55^2))</f>
        <v>1600.3831583465987</v>
      </c>
      <c r="D55" s="1">
        <v>500</v>
      </c>
      <c r="E55" s="7">
        <v>0.368</v>
      </c>
      <c r="F55" s="3">
        <f>PI()*E55*E55/$D$2</f>
        <v>399.856243909534</v>
      </c>
      <c r="G55" s="15">
        <f>G53</f>
        <v>919.7871615893766</v>
      </c>
      <c r="H55" s="6">
        <f>SQRT((B55-A55)^2-A55^2)</f>
        <v>747.6677731023663</v>
      </c>
      <c r="I55" s="6">
        <f>G55/25.4</f>
        <v>36.21209297595971</v>
      </c>
      <c r="J55" s="6">
        <f>H55/25.4</f>
        <v>29.435739098518358</v>
      </c>
      <c r="K55" s="9">
        <f>SQRT(E53^2*(1+(($D$2*C55)/(PI()*E53^2)^2)))</f>
        <v>1.1871926197715534</v>
      </c>
    </row>
    <row r="56" spans="1:10" s="5" customFormat="1" ht="12.75">
      <c r="A56" s="7"/>
      <c r="B56" s="7"/>
      <c r="C56" s="7"/>
      <c r="D56" s="7"/>
      <c r="E56" s="7"/>
      <c r="F56" s="7"/>
      <c r="G56" s="11"/>
      <c r="H56" s="11"/>
      <c r="I56" s="11"/>
      <c r="J56" s="11"/>
    </row>
    <row r="57" spans="1:10" ht="12.75">
      <c r="A57" s="2" t="s">
        <v>17</v>
      </c>
      <c r="B57" s="12" t="s">
        <v>12</v>
      </c>
      <c r="C57" s="8"/>
      <c r="D57" s="2"/>
      <c r="E57" s="2" t="s">
        <v>21</v>
      </c>
      <c r="F57" s="2" t="s">
        <v>8</v>
      </c>
      <c r="G57" s="12" t="s">
        <v>13</v>
      </c>
      <c r="H57" s="2"/>
      <c r="I57" s="2" t="s">
        <v>22</v>
      </c>
      <c r="J57" s="2" t="s">
        <v>23</v>
      </c>
    </row>
    <row r="58" spans="1:10" ht="12.75">
      <c r="A58" s="1"/>
      <c r="B58" s="13">
        <f>G58</f>
        <v>0</v>
      </c>
      <c r="C58" s="9"/>
      <c r="D58" s="3"/>
      <c r="E58" s="7">
        <v>0.18</v>
      </c>
      <c r="F58" s="3"/>
      <c r="G58" s="14">
        <v>0</v>
      </c>
      <c r="H58" s="3"/>
      <c r="I58" s="6">
        <f>G58/25.4</f>
        <v>0</v>
      </c>
      <c r="J58" s="3"/>
    </row>
    <row r="59" spans="1:11" s="4" customFormat="1" ht="12.75">
      <c r="A59" s="2" t="s">
        <v>5</v>
      </c>
      <c r="B59" s="12" t="s">
        <v>12</v>
      </c>
      <c r="C59" s="2" t="s">
        <v>11</v>
      </c>
      <c r="D59" s="2" t="s">
        <v>6</v>
      </c>
      <c r="E59" s="2" t="s">
        <v>21</v>
      </c>
      <c r="F59" s="2" t="s">
        <v>8</v>
      </c>
      <c r="G59" s="12" t="s">
        <v>13</v>
      </c>
      <c r="H59" s="2" t="s">
        <v>7</v>
      </c>
      <c r="I59" s="2" t="s">
        <v>22</v>
      </c>
      <c r="J59" s="2" t="s">
        <v>23</v>
      </c>
      <c r="K59" s="18" t="s">
        <v>27</v>
      </c>
    </row>
    <row r="60" spans="2:11" s="1" customFormat="1" ht="12.75">
      <c r="B60" s="13">
        <f>D60+(E60/E58)*SQRT(D60^2-F60^2)</f>
        <v>589.7603957075626</v>
      </c>
      <c r="C60" s="3">
        <f>D60+(E58/E60)*SQRT(D60^2-F60^2)</f>
        <v>361.3758248749907</v>
      </c>
      <c r="D60" s="1">
        <v>254.2</v>
      </c>
      <c r="E60" s="7">
        <v>0.3185</v>
      </c>
      <c r="F60" s="3">
        <f>PI()*E60*E58/$D$2</f>
        <v>169.27397258487107</v>
      </c>
      <c r="G60" s="15">
        <f>G58+B60+C60</f>
        <v>951.1362205825533</v>
      </c>
      <c r="H60" s="6">
        <f>G58+C60</f>
        <v>361.3758248749907</v>
      </c>
      <c r="I60" s="6">
        <f>G60/25.4</f>
        <v>37.44630789695092</v>
      </c>
      <c r="J60" s="6">
        <f>H60/25.4</f>
        <v>14.227394680117746</v>
      </c>
      <c r="K60" s="9">
        <f>SQRT(E58^2*(1+(($D$2*C60)/(PI()*E58^2)^2)))</f>
        <v>1.111224272019353</v>
      </c>
    </row>
    <row r="61" spans="1:11" s="1" customFormat="1" ht="12.75">
      <c r="A61" s="2" t="s">
        <v>18</v>
      </c>
      <c r="B61" s="12" t="s">
        <v>12</v>
      </c>
      <c r="C61" s="2" t="s">
        <v>16</v>
      </c>
      <c r="D61" s="2" t="s">
        <v>10</v>
      </c>
      <c r="E61" s="2" t="s">
        <v>21</v>
      </c>
      <c r="F61" s="2" t="s">
        <v>8</v>
      </c>
      <c r="G61" s="12" t="s">
        <v>13</v>
      </c>
      <c r="H61" s="2" t="s">
        <v>7</v>
      </c>
      <c r="I61" s="2" t="s">
        <v>22</v>
      </c>
      <c r="J61" s="2" t="s">
        <v>23</v>
      </c>
      <c r="K61" s="18" t="s">
        <v>27</v>
      </c>
    </row>
    <row r="62" spans="1:11" s="1" customFormat="1" ht="12.75">
      <c r="A62" s="1">
        <v>50.8</v>
      </c>
      <c r="B62" s="13">
        <f>D62+SQRT(D62^2-F62^2)</f>
        <v>900.3588842855452</v>
      </c>
      <c r="C62" s="3">
        <f>2*(D62+SQRT(D62^2-F62^2))</f>
        <v>1800.7177685710903</v>
      </c>
      <c r="D62" s="1">
        <v>500</v>
      </c>
      <c r="E62" s="7">
        <v>0.3185</v>
      </c>
      <c r="F62" s="3">
        <f>PI()*E62*E62/$D$2</f>
        <v>299.5208903793413</v>
      </c>
      <c r="G62" s="15">
        <f>G60</f>
        <v>951.1362205825533</v>
      </c>
      <c r="H62" s="6">
        <f>SQRT((B62-A62)^2-A62^2)</f>
        <v>848.0387124822195</v>
      </c>
      <c r="I62" s="6">
        <f>G62/25.4</f>
        <v>37.44630789695092</v>
      </c>
      <c r="J62" s="6">
        <f>H62/25.4</f>
        <v>33.38735088512675</v>
      </c>
      <c r="K62" s="9">
        <f>SQRT(E60^2*(1+(($D$2*C62)/(PI()*E60^2)^2)))</f>
        <v>1.4195489941890627</v>
      </c>
    </row>
  </sheetData>
  <mergeCells count="1">
    <mergeCell ref="A1:B3"/>
  </mergeCells>
  <printOptions/>
  <pageMargins left="0.29" right="0.23" top="0.28" bottom="0.22" header="0.5" footer="0.28"/>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LIGO Document Control Center</dc:title>
  <dc:subject/>
  <dc:creator>Eric Black</dc:creator>
  <cp:keywords/>
  <dc:description/>
  <cp:lastModifiedBy>LIGO TNI</cp:lastModifiedBy>
  <cp:lastPrinted>2002-03-04T23:50:00Z</cp:lastPrinted>
  <dcterms:created xsi:type="dcterms:W3CDTF">1998-01-03T22:43:27Z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