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Whitening\Project Outputs for isc_whitening_filter\"/>
    </mc:Choice>
  </mc:AlternateContent>
  <xr:revisionPtr revIDLastSave="0" documentId="13_ncr:1_{0468BAE0-B5DE-4501-87A5-3D98D919BAE5}" xr6:coauthVersionLast="47" xr6:coauthVersionMax="47" xr10:uidLastSave="{00000000-0000-0000-0000-000000000000}"/>
  <bookViews>
    <workbookView xWindow="5120" yWindow="42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3" l="1"/>
  <c r="N52" i="3" s="1"/>
  <c r="O52" i="3" s="1"/>
  <c r="L52" i="3"/>
  <c r="M51" i="3"/>
  <c r="L51" i="3"/>
  <c r="M50" i="3"/>
  <c r="L50" i="3"/>
  <c r="M49" i="3"/>
  <c r="L49" i="3"/>
  <c r="N49" i="3" s="1"/>
  <c r="O49" i="3" s="1"/>
  <c r="M48" i="3"/>
  <c r="N48" i="3" s="1"/>
  <c r="O48" i="3" s="1"/>
  <c r="L48" i="3"/>
  <c r="M47" i="3"/>
  <c r="L47" i="3"/>
  <c r="M46" i="3"/>
  <c r="L46" i="3"/>
  <c r="M45" i="3"/>
  <c r="L45" i="3"/>
  <c r="N45" i="3" s="1"/>
  <c r="O45" i="3" s="1"/>
  <c r="M44" i="3"/>
  <c r="N44" i="3" s="1"/>
  <c r="O44" i="3" s="1"/>
  <c r="L44" i="3"/>
  <c r="M43" i="3"/>
  <c r="L43" i="3"/>
  <c r="N43" i="3" s="1"/>
  <c r="O43" i="3" s="1"/>
  <c r="M42" i="3"/>
  <c r="L42" i="3"/>
  <c r="M41" i="3"/>
  <c r="L41" i="3"/>
  <c r="N41" i="3" s="1"/>
  <c r="O41" i="3" s="1"/>
  <c r="M40" i="3"/>
  <c r="N40" i="3" s="1"/>
  <c r="O40" i="3" s="1"/>
  <c r="L40" i="3"/>
  <c r="M39" i="3"/>
  <c r="L39" i="3"/>
  <c r="N39" i="3" s="1"/>
  <c r="O39" i="3" s="1"/>
  <c r="M38" i="3"/>
  <c r="L38" i="3"/>
  <c r="M37" i="3"/>
  <c r="L37" i="3"/>
  <c r="N37" i="3" s="1"/>
  <c r="O37" i="3" s="1"/>
  <c r="M36" i="3"/>
  <c r="N36" i="3" s="1"/>
  <c r="O36" i="3" s="1"/>
  <c r="L36" i="3"/>
  <c r="M35" i="3"/>
  <c r="L35" i="3"/>
  <c r="N35" i="3" s="1"/>
  <c r="O35" i="3" s="1"/>
  <c r="M34" i="3"/>
  <c r="L34" i="3"/>
  <c r="M33" i="3"/>
  <c r="L33" i="3"/>
  <c r="N33" i="3" s="1"/>
  <c r="O33" i="3" s="1"/>
  <c r="M32" i="3"/>
  <c r="N32" i="3" s="1"/>
  <c r="O32" i="3" s="1"/>
  <c r="L32" i="3"/>
  <c r="M31" i="3"/>
  <c r="L31" i="3"/>
  <c r="N31" i="3" s="1"/>
  <c r="O31" i="3" s="1"/>
  <c r="M30" i="3"/>
  <c r="L30" i="3"/>
  <c r="M29" i="3"/>
  <c r="L29" i="3"/>
  <c r="N29" i="3" s="1"/>
  <c r="O29" i="3" s="1"/>
  <c r="M28" i="3"/>
  <c r="N28" i="3" s="1"/>
  <c r="O28" i="3" s="1"/>
  <c r="L28" i="3"/>
  <c r="M27" i="3"/>
  <c r="L27" i="3"/>
  <c r="N27" i="3" s="1"/>
  <c r="O27" i="3" s="1"/>
  <c r="M26" i="3"/>
  <c r="L26" i="3"/>
  <c r="M25" i="3"/>
  <c r="L25" i="3"/>
  <c r="M24" i="3"/>
  <c r="L24" i="3"/>
  <c r="M23" i="3"/>
  <c r="L23" i="3"/>
  <c r="M22" i="3"/>
  <c r="L22" i="3"/>
  <c r="N22" i="3" s="1"/>
  <c r="O22" i="3" s="1"/>
  <c r="M21" i="3"/>
  <c r="L21" i="3"/>
  <c r="M20" i="3"/>
  <c r="L20" i="3"/>
  <c r="M19" i="3"/>
  <c r="L19" i="3"/>
  <c r="M18" i="3"/>
  <c r="L18" i="3"/>
  <c r="N18" i="3" s="1"/>
  <c r="O18" i="3" s="1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63" i="3"/>
  <c r="G62" i="3"/>
  <c r="G61" i="3"/>
  <c r="G60" i="3"/>
  <c r="G59" i="3"/>
  <c r="G58" i="3"/>
  <c r="B53" i="3"/>
  <c r="F8" i="3"/>
  <c r="G8" i="3"/>
  <c r="N17" i="3" l="1"/>
  <c r="O17" i="3" s="1"/>
  <c r="N21" i="3"/>
  <c r="O21" i="3" s="1"/>
  <c r="N25" i="3"/>
  <c r="O25" i="3" s="1"/>
  <c r="N14" i="3"/>
  <c r="O14" i="3" s="1"/>
  <c r="N19" i="3"/>
  <c r="O19" i="3" s="1"/>
  <c r="N23" i="3"/>
  <c r="O23" i="3" s="1"/>
  <c r="N20" i="3"/>
  <c r="O20" i="3" s="1"/>
  <c r="N24" i="3"/>
  <c r="O24" i="3" s="1"/>
  <c r="N26" i="3"/>
  <c r="O26" i="3" s="1"/>
  <c r="N30" i="3"/>
  <c r="O30" i="3" s="1"/>
  <c r="N34" i="3"/>
  <c r="O34" i="3" s="1"/>
  <c r="N38" i="3"/>
  <c r="O38" i="3" s="1"/>
  <c r="N42" i="3"/>
  <c r="O42" i="3" s="1"/>
  <c r="N46" i="3"/>
  <c r="O46" i="3" s="1"/>
  <c r="N50" i="3"/>
  <c r="O50" i="3" s="1"/>
  <c r="N47" i="3"/>
  <c r="O47" i="3" s="1"/>
  <c r="N51" i="3"/>
  <c r="O51" i="3" s="1"/>
  <c r="N16" i="3"/>
  <c r="O16" i="3" s="1"/>
  <c r="N15" i="3"/>
  <c r="O15" i="3" s="1"/>
  <c r="N12" i="3"/>
  <c r="O12" i="3" s="1"/>
  <c r="N13" i="3"/>
  <c r="O13" i="3" s="1"/>
  <c r="N10" i="3"/>
  <c r="N11" i="3"/>
  <c r="O11" i="3" s="1"/>
  <c r="O10" i="3"/>
</calcChain>
</file>

<file path=xl/sharedStrings.xml><?xml version="1.0" encoding="utf-8"?>
<sst xmlns="http://schemas.openxmlformats.org/spreadsheetml/2006/main" count="422" uniqueCount="269">
  <si>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</si>
  <si>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</si>
  <si>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</si>
  <si>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</si>
  <si>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</si>
  <si>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</si>
  <si>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</si>
  <si>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</si>
  <si>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</si>
  <si>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</si>
  <si>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</si>
  <si>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</si>
  <si>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</si>
  <si>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</si>
  <si>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</si>
  <si>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</si>
  <si>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</si>
  <si>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</si>
  <si>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</si>
  <si>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</si>
  <si>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D1001530</t>
  </si>
  <si>
    <t>8</t>
  </si>
  <si>
    <t>isc_whitening_filter.PrjPCB</t>
  </si>
  <si>
    <t>10</t>
  </si>
  <si>
    <t>R.  Abbott</t>
  </si>
  <si>
    <t>6/17/2025</t>
  </si>
  <si>
    <t>11:41 AM</t>
  </si>
  <si>
    <t>Quantity</t>
  </si>
  <si>
    <t>Manufacturer 1</t>
  </si>
  <si>
    <t>KEMET</t>
  </si>
  <si>
    <t>Panasonic</t>
  </si>
  <si>
    <t>Kyocera AVX</t>
  </si>
  <si>
    <t>Samsung</t>
  </si>
  <si>
    <t>Yageo</t>
  </si>
  <si>
    <t>Rohm</t>
  </si>
  <si>
    <t>Lumex</t>
  </si>
  <si>
    <t>Molex</t>
  </si>
  <si>
    <t>Amphenol ICC / FCI</t>
  </si>
  <si>
    <t>Bourns</t>
  </si>
  <si>
    <t>Stackpole Electronics</t>
  </si>
  <si>
    <t>CTS</t>
  </si>
  <si>
    <t>Keystone Electronics</t>
  </si>
  <si>
    <t>Analog Devices</t>
  </si>
  <si>
    <t>STMicroelectronics</t>
  </si>
  <si>
    <t>Analog Devices / Linear Technology</t>
  </si>
  <si>
    <t>Texas Instruments</t>
  </si>
  <si>
    <t>Vishay Siliconix</t>
  </si>
  <si>
    <t>Manufacturer Part Number 1</t>
  </si>
  <si>
    <t>C1206C104k5RAC@7800</t>
  </si>
  <si>
    <t>C1206C680K1HACAUTO</t>
  </si>
  <si>
    <t>C1206C101K5HACTU</t>
  </si>
  <si>
    <t>ECQ-E1106JF</t>
  </si>
  <si>
    <t>TAJD106K035RNJ</t>
  </si>
  <si>
    <t>CL31B105KBHNNNE</t>
  </si>
  <si>
    <t>C1206C330J5GACTU</t>
  </si>
  <si>
    <t>C1206C200K5GACTU</t>
  </si>
  <si>
    <t>C1206C100J5GACTU</t>
  </si>
  <si>
    <t>C1206C569D5GACTU</t>
  </si>
  <si>
    <t>CC1206FRNPO9BN562</t>
  </si>
  <si>
    <t>RB160MM-60TR</t>
  </si>
  <si>
    <t>SSF-LXH240GGD</t>
  </si>
  <si>
    <t>D15S33E6GX00LF</t>
  </si>
  <si>
    <t>D09S33E6GX00LF</t>
  </si>
  <si>
    <t>CC453232-100KL</t>
  </si>
  <si>
    <t>D37S33E6GX00LF</t>
  </si>
  <si>
    <t>86130402113345E1LF</t>
  </si>
  <si>
    <t>26-61-5030</t>
  </si>
  <si>
    <t>ERA-8AEB153V</t>
  </si>
  <si>
    <t>ERA-8ARB1581V</t>
  </si>
  <si>
    <t>HCJ1206ZT0R00</t>
  </si>
  <si>
    <t>ERA-8AEB102V</t>
  </si>
  <si>
    <t>ERA-8AEB1651V</t>
  </si>
  <si>
    <t>ERA-8AEB5490V</t>
  </si>
  <si>
    <t>ERA-8AEB201V</t>
  </si>
  <si>
    <t>ERA-8AEB681V</t>
  </si>
  <si>
    <t>ERA-8AEB302V</t>
  </si>
  <si>
    <t>ERA-8AEB105V</t>
  </si>
  <si>
    <t>ERA-8AEB152V</t>
  </si>
  <si>
    <t>ERA-8AEB4991V</t>
  </si>
  <si>
    <t>752091103GPTR7</t>
  </si>
  <si>
    <t>4816P-1-561LF</t>
  </si>
  <si>
    <t>ERA-8AEB49R9V</t>
  </si>
  <si>
    <t>OP27GSZ-REEL7</t>
  </si>
  <si>
    <t>ADG1436YRUZ-REEL7</t>
  </si>
  <si>
    <t>L78M05CV</t>
  </si>
  <si>
    <t>LT1125CSW#PBF</t>
  </si>
  <si>
    <t>AD8672ARZ</t>
  </si>
  <si>
    <t>SN74ALS573CDWR</t>
  </si>
  <si>
    <t>DG412DY-T1-E3</t>
  </si>
  <si>
    <t>Supplier 1</t>
  </si>
  <si>
    <t>Digikey</t>
  </si>
  <si>
    <t>DigiKey</t>
  </si>
  <si>
    <t>Supplier Part Number 1</t>
  </si>
  <si>
    <t>399-C1206C104K5RACTUCT-ND</t>
  </si>
  <si>
    <t>399-C1206C680K1HACAUTOCT-ND</t>
  </si>
  <si>
    <t>399-C1206C101K5HACTUCT-ND</t>
  </si>
  <si>
    <t>P14629-ND</t>
  </si>
  <si>
    <t>478-1722-1-ND</t>
  </si>
  <si>
    <t>1276-1068-1-ND</t>
  </si>
  <si>
    <t>399-C1206C330J5GACTUCT-ND</t>
  </si>
  <si>
    <t>399-C1206C200K5GACTUCT-ND</t>
  </si>
  <si>
    <t>399-C1206C100J5GACTUCT-ND</t>
  </si>
  <si>
    <t>399-15585-1-ND</t>
  </si>
  <si>
    <t>13-CC1206FRNPO9BN562CT-ND</t>
  </si>
  <si>
    <t>RB160MM-60CT-ND</t>
  </si>
  <si>
    <t>67-1321-ND</t>
  </si>
  <si>
    <t>900-0732517040-ND</t>
  </si>
  <si>
    <t>D15S33E6GX00LF-ND</t>
  </si>
  <si>
    <t>609-6160-ND</t>
  </si>
  <si>
    <t>CC453232-100KLCT-ND</t>
  </si>
  <si>
    <t>D37S33E6GX00LF-ND</t>
  </si>
  <si>
    <t>609-86130402113345E1LF-ND</t>
  </si>
  <si>
    <t>WM5236-ND</t>
  </si>
  <si>
    <t>10-ERA-8AEB153VCT-ND</t>
  </si>
  <si>
    <t>P18589CT-ND</t>
  </si>
  <si>
    <t>HCJ1206ZT0R00CT-ND</t>
  </si>
  <si>
    <t>P1.0KBCCT-ND</t>
  </si>
  <si>
    <t>P1.65KBCCT-ND</t>
  </si>
  <si>
    <t>P549BCCT-ND</t>
  </si>
  <si>
    <t>P200BCCT-ND</t>
  </si>
  <si>
    <t>10-ERA-8AEB681VCT-ND</t>
  </si>
  <si>
    <t>10-ERA-8AEB302VCT-ND</t>
  </si>
  <si>
    <t>P1.0MBCCT-ND</t>
  </si>
  <si>
    <t>P1.5KBCCT-ND</t>
  </si>
  <si>
    <t>P4.99KBCCT-ND</t>
  </si>
  <si>
    <t>60-752091103GPTR7CT-ND</t>
  </si>
  <si>
    <t>4816P-1-561LFCT-ND</t>
  </si>
  <si>
    <t>P49.9BCCT-ND</t>
  </si>
  <si>
    <t>36-5017CT-ND</t>
  </si>
  <si>
    <t>OP27GSZ-REEL7CT-ND</t>
  </si>
  <si>
    <t>ADG1436YRUZ-REEL7CT-ND</t>
  </si>
  <si>
    <t>497-2957-5-ND</t>
  </si>
  <si>
    <t>505-LT1125CSW#PBF-ND</t>
  </si>
  <si>
    <t>505-AD8672ARZ-ND</t>
  </si>
  <si>
    <t>296-1129-1-ND</t>
  </si>
  <si>
    <t>DG412DY-T1-E3CT-ND</t>
  </si>
  <si>
    <t>Name</t>
  </si>
  <si>
    <t>100n</t>
  </si>
  <si>
    <t>68p</t>
  </si>
  <si>
    <t>100p</t>
  </si>
  <si>
    <t>10uF, plastic</t>
  </si>
  <si>
    <t>10uF Tantalum, 35V</t>
  </si>
  <si>
    <t>1u</t>
  </si>
  <si>
    <t>33pF</t>
  </si>
  <si>
    <t>20pF</t>
  </si>
  <si>
    <t>10pF</t>
  </si>
  <si>
    <t>5.6pF</t>
  </si>
  <si>
    <t>5.6n</t>
  </si>
  <si>
    <t>60V, 1A Schottky</t>
  </si>
  <si>
    <t>Stacked LED</t>
  </si>
  <si>
    <t>SMA</t>
  </si>
  <si>
    <t>D Connector 15</t>
  </si>
  <si>
    <t>D Connector 9</t>
  </si>
  <si>
    <t>10uH, 360mA</t>
  </si>
  <si>
    <t>37 pin connector</t>
  </si>
  <si>
    <t>Header 20X2H</t>
  </si>
  <si>
    <t>Header 3H</t>
  </si>
  <si>
    <t>15K</t>
  </si>
  <si>
    <t>1.58k</t>
  </si>
  <si>
    <t>0</t>
  </si>
  <si>
    <t>1K</t>
  </si>
  <si>
    <t>1.65K</t>
  </si>
  <si>
    <t>549</t>
  </si>
  <si>
    <t>200</t>
  </si>
  <si>
    <t>680</t>
  </si>
  <si>
    <t>3K</t>
  </si>
  <si>
    <t>1M</t>
  </si>
  <si>
    <t>1.5K</t>
  </si>
  <si>
    <t>4.99K</t>
  </si>
  <si>
    <t>10K</t>
  </si>
  <si>
    <t>560</t>
  </si>
  <si>
    <t>49.9</t>
  </si>
  <si>
    <t>TEST POINT</t>
  </si>
  <si>
    <t>OP27GS</t>
  </si>
  <si>
    <t>MC7805CT</t>
  </si>
  <si>
    <t>LT1125CSW</t>
  </si>
  <si>
    <t>74ALS573</t>
  </si>
  <si>
    <t>DG412</t>
  </si>
  <si>
    <t>Description</t>
  </si>
  <si>
    <t>Capacitor</t>
  </si>
  <si>
    <t>Polarized Cap</t>
  </si>
  <si>
    <t>Diode 1 Amp</t>
  </si>
  <si>
    <t>Dual Green LED</t>
  </si>
  <si>
    <t>SMA, PCB Mount, Right Angle</t>
  </si>
  <si>
    <t>15 Position, Right Angle, Receptacle Assembly</t>
  </si>
  <si>
    <t>9 Position, Right Angle,Receptacle Assembly</t>
  </si>
  <si>
    <t>INDUCTOR</t>
  </si>
  <si>
    <t>Standard D-Subminiature Connector 37 pin</t>
  </si>
  <si>
    <t>Header, 20-Pin, Dual row, Right Angle</t>
  </si>
  <si>
    <t>Header, 3-Pin, Right Angle</t>
  </si>
  <si>
    <t>Resistor</t>
  </si>
  <si>
    <t>8 Bus Resistor</t>
  </si>
  <si>
    <t>Isolated Resistor Network</t>
  </si>
  <si>
    <t>PCB Testpoint</t>
  </si>
  <si>
    <t>Video Operational Amplifier</t>
  </si>
  <si>
    <t>+/-15 V / 12 V / +/-5 V, iCMOS, Dual SPDT Switch, 16-pin SOP (RU-16), Reel</t>
  </si>
  <si>
    <t>Three-Terminal Positive Voltage Regulator</t>
  </si>
  <si>
    <t>Quad Low Noise, High-Speed Precision Operational Amplifier</t>
  </si>
  <si>
    <t>High-Speed, Low-Power Dual Operational Amplifier</t>
  </si>
  <si>
    <t>Octal D-Type Transparent Latches with 3-State Outputs</t>
  </si>
  <si>
    <t>Quad Analog SPST NO Switch</t>
  </si>
  <si>
    <t>Designator</t>
  </si>
  <si>
    <t>C1_PZ1_a, C1_PZ1_b, C1_PZ1_c, C1_PZ1_d, C1_PZ2_a, C1_PZ2_b, C1_PZ2_c, C1_PZ2_d, C1_PZ3_a, C1_PZ3_b, C1_PZ3_c, C1_PZ3_d, C3_PZ1_a, C3_PZ1_b, C3_PZ1_c, C3_PZ1_d, C3_PZ2_a, C3_PZ2_b, C3_PZ2_c, C3_PZ2_d, C3_PZ3_a, C3_PZ3_b, C3_PZ3_c, C3_PZ3_d, C6, C8, C9, C11, C12, C14, C15, C17, C19, C22, C24_3dB_a, C24_3dB_b, C24_3dB_c, C24_3dB_d, C24_6dB_a, C24_6dB_b, C24_6dB_c, C24_6dB_d, C24_12dB_a, C24_12dB_b, C24_12dB_c, C24_12dB_d, C24_24dB_a, C24_24dB_b, C24_24dB_c, C24_24dB_d, C26_3dB_a, C26_3dB_b, C26_3dB_c, C26_3dB_d, C26_6dB_a, C26_6dB_b, C26_6dB_c, C26_6dB_d, C26_12dB_a, C26_12dB_b, C26_12dB_c, C26_12dB_d, C26_24dB_a, C26_24dB_b, C26_24dB_c, C26_24dB_d, C30_U_diff_out_A, C30_U_diff_out_B, C30_U_diff_out_C, C30_U_diff_out_D, C31_U_diff_out_A, C31_U_diff_out_B, C31_U_diff_out_C, C31_U_diff_out_D, C32_U_logic_A, C32_U_logic_B, C32_U_logic_C, C32_U_logic_D, C33_U_logic_A, C33_U_logic_B, C33_U_logic_C, C33_U_logic_D, C36_U_logic_A, C36_U_logic_B, C36_U_logic_C, C36_U_logic_D</t>
  </si>
  <si>
    <t>C2_PZ1_a, C2_PZ1_b, C2_PZ1_c, C2_PZ1_d, C2_PZ2_a, C2_PZ2_b, C2_PZ2_c, C2_PZ2_d, C2_PZ3_a, C2_PZ3_b, C2_PZ3_c, C2_PZ3_d, C7, C10, C13, C16, C25_3dB_a, C25_3dB_b, C25_3dB_c, C25_3dB_d, C25_6dB_a, C25_6dB_b, C25_6dB_c, C25_6dB_d, C25_12dB_a, C25_12dB_b, C25_12dB_c, C25_12dB_d, C25_24dB_a, C25_24dB_b, C25_24dB_c, C25_24dB_d</t>
  </si>
  <si>
    <t>C4_PZ1_a, C4_PZ1_b, C4_PZ1_c, C4_PZ1_d, C4_PZ2_a, C4_PZ2_b, C4_PZ2_c, C4_PZ2_d, C4_PZ3_a, C4_PZ3_b, C4_PZ3_c, C4_PZ3_d</t>
  </si>
  <si>
    <t>C5_PZ1_a, C5_PZ1_b, C5_PZ1_c, C5_PZ1_d, C5_PZ2_a, C5_PZ2_b, C5_PZ2_c, C5_PZ2_d, C5_PZ3_a, C5_PZ3_b, C5_PZ3_c, C5_PZ3_d</t>
  </si>
  <si>
    <t>C18, C23</t>
  </si>
  <si>
    <t>C20, C21, C28_U_diff_in_A, C28_U_diff_in_B, C28_U_diff_in_C, C28_U_diff_in_D, C29_U_diff_in_A, C29_U_diff_in_B, C29_U_diff_in_C, C29_U_diff_in_D, C34, C35</t>
  </si>
  <si>
    <t>C27_3dB_a, C27_3dB_b, C27_3dB_c, C27_3dB_d</t>
  </si>
  <si>
    <t>C27_6dB_a, C27_6dB_b, C27_6dB_c, C27_6dB_d</t>
  </si>
  <si>
    <t>C27_12dB_a, C27_12dB_b, C27_12dB_c, C27_12dB_d</t>
  </si>
  <si>
    <t>C27_24dB_a, C27_24dB_b, C27_24dB_c, C27_24dB_d</t>
  </si>
  <si>
    <t>C37_U_diff_in_A, C37_U_diff_in_B, C37_U_diff_in_C, C37_U_diff_in_D, C38_U_diff_in_A, C38_U_diff_in_B, C38_U_diff_in_C, C38_U_diff_in_D, C39_U_diff_in_A, C39_U_diff_in_B, C39_U_diff_in_C, C39_U_diff_in_D</t>
  </si>
  <si>
    <t>D1_PZ1_a, D1_PZ1_b, D1_PZ1_c, D1_PZ1_d, D1_PZ2_a, D1_PZ2_b, D1_PZ2_c, D1_PZ2_d, D1_PZ3_a, D1_PZ3_b, D1_PZ3_c, D1_PZ3_d, D2_PZ1_a, D2_PZ1_b, D2_PZ1_c, D2_PZ1_d, D2_PZ2_a, D2_PZ2_b, D2_PZ2_c, D2_PZ2_d, D2_PZ3_a, D2_PZ3_b, D2_PZ3_c, D2_PZ3_d, D3, D5, D6_3dB_a, D6_3dB_b, D6_3dB_c, D6_3dB_d, D6_6dB_a, D6_6dB_b, D6_6dB_c, D6_6dB_d, D6_12dB_a, D6_12dB_b, D6_12dB_c, D6_12dB_d, D6_24dB_a, D6_24dB_b, D6_24dB_c, D6_24dB_d, D7_3dB_a, D7_3dB_b, D7_3dB_c, D7_3dB_d, D7_6dB_a, D7_6dB_b, D7_6dB_c, D7_6dB_d, D7_12dB_a, D7_12dB_b, D7_12dB_c, D7_12dB_d, D7_24dB_a, D7_24dB_b, D7_24dB_c, D7_24dB_d</t>
  </si>
  <si>
    <t>D4</t>
  </si>
  <si>
    <t>IN1, IN2, IN3, IN4, OUT1, OUT2, OUT3, OUT4</t>
  </si>
  <si>
    <t>J5</t>
  </si>
  <si>
    <t>J6</t>
  </si>
  <si>
    <t>L5, L6, L7, L8</t>
  </si>
  <si>
    <t>P1, P3</t>
  </si>
  <si>
    <t>P2</t>
  </si>
  <si>
    <t>P4</t>
  </si>
  <si>
    <t>R1_PZ1_a, R1_PZ1_b, R1_PZ1_c, R1_PZ1_d, R1_PZ2_a, R1_PZ2_b, R1_PZ2_c, R1_PZ2_d, R1_PZ3_a, R1_PZ3_b, R1_PZ3_c, R1_PZ3_d, R11_3dB_a, R11_3dB_b, R11_3dB_c, R11_3dB_d, R11_6dB_a, R11_6dB_b, R11_6dB_c, R11_6dB_d, R11_12dB_a, R11_12dB_b, R11_12dB_c, R11_12dB_d, R11_24dB_a, R11_24dB_b, R11_24dB_c, R11_24dB_d, R30_PZ1_a, R30_PZ1_b, R30_PZ1_c, R30_PZ1_d, R30_PZ2_a, R30_PZ2_b, R30_PZ2_c, R30_PZ2_d, R30_PZ3_a, R30_PZ3_b, R30_PZ3_c, R30_PZ3_d</t>
  </si>
  <si>
    <t>R2_PZ1_a, R2_PZ1_b, R2_PZ1_c, R2_PZ1_d, R2_PZ2_a, R2_PZ2_b, R2_PZ2_c, R2_PZ2_d, R2_PZ3_a, R2_PZ3_b, R2_PZ3_c, R2_PZ3_d</t>
  </si>
  <si>
    <t>R3, R4, R5, R6, R17_U_diff_in_A, R17_U_diff_in_B, R17_U_diff_in_C, R17_U_diff_in_D, R19_U_diff_in_A, R19_U_diff_in_B, R19_U_diff_in_C, R19_U_diff_in_D, R23_U_diff_out_A, R23_U_diff_out_B, R23_U_diff_out_C, R23_U_diff_out_D, R26_U_diff_out_A, R26_U_diff_out_B, R26_U_diff_out_C, R26_U_diff_out_D, R35, R36, R38, R39</t>
  </si>
  <si>
    <t>R7, R8, R9, R10, R12_6dB_a, R12_6dB_b, R12_6dB_c, R12_6dB_d, R13_6dB_a, R13_6dB_b, R13_6dB_c, R13_6dB_d, R32_U_diff_in_A, R32_U_diff_in_B, R32_U_diff_in_C, R32_U_diff_in_D, R33_U_diff_in_A, R33_U_diff_in_B, R33_U_diff_in_C, R33_U_diff_in_D</t>
  </si>
  <si>
    <t>R12_3dB_a, R12_3dB_b, R12_3dB_c, R12_3dB_d, R13_12dB_a, R13_12dB_b, R13_12dB_c, R13_12dB_d</t>
  </si>
  <si>
    <t>R12_12dB_a, R12_12dB_b, R12_12dB_c, R12_12dB_d</t>
  </si>
  <si>
    <t>R12_24dB_a, R12_24dB_b, R12_24dB_c, R12_24dB_d</t>
  </si>
  <si>
    <t>R13_3dB_a, R13_3dB_b, R13_3dB_c, R13_3dB_d</t>
  </si>
  <si>
    <t>R13_24dB_a, R13_24dB_b, R13_24dB_c, R13_24dB_d, R15_U_diff_in_A, R15_U_diff_in_B, R15_U_diff_in_C, R15_U_diff_in_D, R21_U_diff_in_A, R21_U_diff_in_B, R21_U_diff_in_C, R21_U_diff_in_D</t>
  </si>
  <si>
    <t>R14_U_diff_in_A, R14_U_diff_in_B, R14_U_diff_in_C, R14_U_diff_in_D, R22_U_diff_in_A, R22_U_diff_in_B, R22_U_diff_in_C, R22_U_diff_in_D</t>
  </si>
  <si>
    <t>R16_U_diff_in_A, R16_U_diff_in_B, R16_U_diff_in_C, R16_U_diff_in_D, R20_U_diff_in_A, R20_U_diff_in_B, R20_U_diff_in_C, R20_U_diff_in_D</t>
  </si>
  <si>
    <t>R24_U_diff_out_A, R24_U_diff_out_B, R24_U_diff_out_C, R24_U_diff_out_D, R25_U_diff_out_A, R25_U_diff_out_B, R25_U_diff_out_C, R25_U_diff_out_D, R27_U_diff_out_A, R27_U_diff_out_B, R27_U_diff_out_C, R27_U_diff_out_D, R28_U_diff_out_A, R28_U_diff_out_B, R28_U_diff_out_C, R28_U_diff_out_D</t>
  </si>
  <si>
    <t>R29_U_logic_A, R29_U_logic_B, R29_U_logic_C, R29_U_logic_D</t>
  </si>
  <si>
    <t>R31_U_logic_A, R31_U_logic_B, R31_U_logic_C, R31_U_logic_D</t>
  </si>
  <si>
    <t>R34, R37</t>
  </si>
  <si>
    <t>TP1, TP2, TP3, TP4, TP5, TP6, TP7_U_diff_out_A, TP7_U_diff_out_B, TP7_U_diff_out_C, TP7_U_diff_out_D, TP8_U_diff_out_A, TP8_U_diff_out_B, TP8_U_diff_out_C, TP8_U_diff_out_D, TP9, TP9_U_diff_out_A, TP9_U_diff_out_B, TP9_U_diff_out_C, TP9_U_diff_out_D, TP10, TP11, TP12, TP13, TP14, TP15, TP16, TP17, TP18, TP19, TP20, TP21, TP22</t>
  </si>
  <si>
    <t>U1_PZ1_a, U1_PZ1_b, U1_PZ1_c, U1_PZ1_d, U1_PZ2_a, U1_PZ2_b, U1_PZ2_c, U1_PZ2_d, U1_PZ3_a, U1_PZ3_b, U1_PZ3_c, U1_PZ3_d, U3, U4, U5, U6, U9_3dB_a, U9_3dB_b, U9_3dB_c, U9_3dB_d, U9_6dB_a, U9_6dB_b, U9_6dB_c, U9_6dB_d, U9_12dB_a, U9_12dB_b, U9_12dB_c, U9_12dB_d, U9_24dB_a, U9_24dB_b, U9_24dB_c, U9_24dB_d</t>
  </si>
  <si>
    <t>U2_PZ1_a, U2_PZ1_b, U2_PZ1_c, U2_PZ1_d, U2_PZ2_a, U2_PZ2_b, U2_PZ2_c, U2_PZ2_d, U2_PZ3_a, U2_PZ3_b, U2_PZ3_c, U2_PZ3_d, U8_3dB_a, U8_3dB_b, U8_3dB_c, U8_3dB_d, U8_6dB_a, U8_6dB_b, U8_6dB_c, U8_6dB_d, U8_12dB_a, U8_12dB_b, U8_12dB_c, U8_12dB_d, U8_24dB_a, U8_24dB_b, U8_24dB_c, U8_24dB_d</t>
  </si>
  <si>
    <t>U7</t>
  </si>
  <si>
    <t>U10_U_diff_in_A, U10_U_diff_in_B, U10_U_diff_in_C, U10_U_diff_in_D</t>
  </si>
  <si>
    <t>U11_U_diff_out_A, U11_U_diff_out_B, U11_U_diff_out_C, U11_U_diff_out_D</t>
  </si>
  <si>
    <t>U13_U_logic_A, U13_U_logic_B, U13_U_logic_C, U13_U_logic_D</t>
  </si>
  <si>
    <t>U14_U_logic_A, U14_U_logic_B, U14_U_logic_C, U14_U_logic_D, U15_U_logic_A, U15_U_logic_B, U15_U_logic_C, U15_U_logic_D</t>
  </si>
  <si>
    <t>Footprint</t>
  </si>
  <si>
    <t>3216[1206]</t>
  </si>
  <si>
    <t>ECQ-E1106KF_Side</t>
  </si>
  <si>
    <t>7343-31</t>
  </si>
  <si>
    <t>sod123</t>
  </si>
  <si>
    <t>my LUMEX Dual LED</t>
  </si>
  <si>
    <t>DSUB1.385-2H15</t>
  </si>
  <si>
    <t>DSUB1.385-2H9</t>
  </si>
  <si>
    <t>1812</t>
  </si>
  <si>
    <t>DB37/F/RA/125MT</t>
  </si>
  <si>
    <t>MY_40-pin_Header_RA</t>
  </si>
  <si>
    <t>Molex_156_RA_3</t>
  </si>
  <si>
    <t>SRT9</t>
  </si>
  <si>
    <t>SOP127P760X300-16M</t>
  </si>
  <si>
    <t>TP_SMT_MICRO</t>
  </si>
  <si>
    <t>SOIC127P600-8N</t>
  </si>
  <si>
    <t>ADI-RU-16_L</t>
  </si>
  <si>
    <t>MY_TO220</t>
  </si>
  <si>
    <t>SOIC127P1030-16N</t>
  </si>
  <si>
    <t>DW020_M</t>
  </si>
  <si>
    <t>SOIC16</t>
  </si>
  <si>
    <t>Assembly Type</t>
  </si>
  <si>
    <t/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</si>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</sst>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53" totalsRowShown="0" headerRowDxfId="19" dataDxfId="17" headerRowBorderDxfId="18" tableBorderDxfId="16">
  <autoFilter ref="B9:O53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63"/>
  <sheetViews>
    <sheetView showGridLines="0" tabSelected="1" zoomScaleNormal="100" workbookViewId="0">
      <selection activeCell="A26" sqref="A26:XFD26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45825</v>
      </c>
      <c r="G8" s="59">
        <f ca="1">NOW()</f>
        <v>45825.487727546293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47</v>
      </c>
      <c r="E9" s="40" t="s">
        <v>89</v>
      </c>
      <c r="F9" s="40" t="s">
        <v>92</v>
      </c>
      <c r="G9" s="40" t="s">
        <v>136</v>
      </c>
      <c r="H9" s="40" t="s">
        <v>178</v>
      </c>
      <c r="I9" s="41" t="s">
        <v>201</v>
      </c>
      <c r="J9" s="40" t="s">
        <v>245</v>
      </c>
      <c r="K9" s="40" t="s">
        <v>266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10.5" x14ac:dyDescent="0.25">
      <c r="A10" s="13"/>
      <c r="B10" s="46">
        <v>86</v>
      </c>
      <c r="C10" s="46" t="s">
        <v>29</v>
      </c>
      <c r="D10" s="46" t="s">
        <v>48</v>
      </c>
      <c r="E10" s="47" t="s">
        <v>90</v>
      </c>
      <c r="F10" s="47" t="s">
        <v>93</v>
      </c>
      <c r="G10" s="47" t="s">
        <v>137</v>
      </c>
      <c r="H10" s="47" t="s">
        <v>179</v>
      </c>
      <c r="I10" s="47" t="s">
        <v>202</v>
      </c>
      <c r="J10" s="47" t="s">
        <v>246</v>
      </c>
      <c r="K10" s="47" t="s">
        <v>267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43</v>
      </c>
      <c r="O10" s="42">
        <f>+IF(OR(LEFT(I10&amp;"",1)="C",LEFT(I10&amp;"",1)="R"),ROUNDUP($K$4*B10+N10,-1),$K$4*B10+N10)</f>
        <v>910</v>
      </c>
    </row>
    <row r="11" spans="1:15" s="2" customFormat="1" ht="40.5" x14ac:dyDescent="0.25">
      <c r="A11" s="13"/>
      <c r="B11" s="46">
        <v>32</v>
      </c>
      <c r="C11" s="46" t="s">
        <v>29</v>
      </c>
      <c r="D11" s="46" t="s">
        <v>49</v>
      </c>
      <c r="E11" s="47" t="s">
        <v>90</v>
      </c>
      <c r="F11" s="47" t="s">
        <v>94</v>
      </c>
      <c r="G11" s="47" t="s">
        <v>138</v>
      </c>
      <c r="H11" s="47" t="s">
        <v>179</v>
      </c>
      <c r="I11" s="47" t="s">
        <v>203</v>
      </c>
      <c r="J11" s="47" t="s">
        <v>246</v>
      </c>
      <c r="K11" s="47" t="s">
        <v>267</v>
      </c>
      <c r="L11" s="49">
        <f t="shared" ref="L11" si="0">+IF(OR(K11="BGA",K11="FP",K11="TH"),1,IF($K$4*B11&lt;100,5,0))</f>
        <v>0</v>
      </c>
      <c r="M11" s="48">
        <f t="shared" ref="M11" si="1">+IF(AND(K11="",$K$4*B11&gt;100),0.05,0)</f>
        <v>0.05</v>
      </c>
      <c r="N11" s="49">
        <f t="shared" ref="N11" si="2">+ROUNDUP($K$4*B11*M11+L11,0)</f>
        <v>16</v>
      </c>
      <c r="O11" s="42">
        <f t="shared" ref="O11" si="3">+IF(OR(LEFT(I11&amp;"",1)="C",LEFT(I11&amp;"",1)="R"),ROUNDUP($K$4*B11+N11,-1),$K$4*B11+N11)</f>
        <v>340</v>
      </c>
    </row>
    <row r="12" spans="1:15" s="2" customFormat="1" ht="20.5" x14ac:dyDescent="0.25">
      <c r="A12" s="13"/>
      <c r="B12" s="46">
        <v>12</v>
      </c>
      <c r="C12" s="46" t="s">
        <v>29</v>
      </c>
      <c r="D12" s="46" t="s">
        <v>50</v>
      </c>
      <c r="E12" s="47" t="s">
        <v>90</v>
      </c>
      <c r="F12" s="47" t="s">
        <v>95</v>
      </c>
      <c r="G12" s="47" t="s">
        <v>139</v>
      </c>
      <c r="H12" s="47" t="s">
        <v>179</v>
      </c>
      <c r="I12" s="47" t="s">
        <v>204</v>
      </c>
      <c r="J12" s="47" t="s">
        <v>246</v>
      </c>
      <c r="K12" s="47" t="s">
        <v>267</v>
      </c>
      <c r="L12" s="49">
        <f>+IF(OR(K12="BGA",K12="FP",K12="TH"),1,IF($K$4*B12&lt;100,5,0))</f>
        <v>0</v>
      </c>
      <c r="M12" s="48">
        <f>+IF(AND(K12="",$K$4*B12&gt;100),0.05,0)</f>
        <v>0.05</v>
      </c>
      <c r="N12" s="49">
        <f>+ROUNDUP($K$4*B12*M12+L12,0)</f>
        <v>6</v>
      </c>
      <c r="O12" s="42">
        <f>+IF(OR(LEFT(I12&amp;"",1)="C",LEFT(I12&amp;"",1)="R"),ROUNDUP($K$4*B12+N12,-1),$K$4*B12+N12)</f>
        <v>130</v>
      </c>
    </row>
    <row r="13" spans="1:15" s="2" customFormat="1" ht="20.5" x14ac:dyDescent="0.25">
      <c r="A13" s="13"/>
      <c r="B13" s="46">
        <v>12</v>
      </c>
      <c r="C13" s="46" t="s">
        <v>30</v>
      </c>
      <c r="D13" s="46" t="s">
        <v>51</v>
      </c>
      <c r="E13" s="47" t="s">
        <v>90</v>
      </c>
      <c r="F13" s="47" t="s">
        <v>96</v>
      </c>
      <c r="G13" s="47" t="s">
        <v>140</v>
      </c>
      <c r="H13" s="47" t="s">
        <v>179</v>
      </c>
      <c r="I13" s="47" t="s">
        <v>205</v>
      </c>
      <c r="J13" s="47" t="s">
        <v>247</v>
      </c>
      <c r="K13" s="47" t="s">
        <v>268</v>
      </c>
      <c r="L13" s="49">
        <f t="shared" ref="L13" si="4">+IF(OR(K13="BGA",K13="FP",K13="TH"),1,IF($K$4*B13&lt;100,5,0))</f>
        <v>1</v>
      </c>
      <c r="M13" s="48">
        <f t="shared" ref="M13" si="5">+IF(AND(K13="",$K$4*B13&gt;100),0.05,0)</f>
        <v>0</v>
      </c>
      <c r="N13" s="49">
        <f t="shared" ref="N13" si="6">+ROUNDUP($K$4*B13*M13+L13,0)</f>
        <v>1</v>
      </c>
      <c r="O13" s="42">
        <f t="shared" ref="O13" si="7">+IF(OR(LEFT(I13&amp;"",1)="C",LEFT(I13&amp;"",1)="R"),ROUNDUP($K$4*B13+N13,-1),$K$4*B13+N13)</f>
        <v>130</v>
      </c>
    </row>
    <row r="14" spans="1:15" s="2" customFormat="1" ht="13" x14ac:dyDescent="0.25">
      <c r="A14" s="13"/>
      <c r="B14" s="46">
        <v>2</v>
      </c>
      <c r="C14" s="46" t="s">
        <v>31</v>
      </c>
      <c r="D14" s="46" t="s">
        <v>52</v>
      </c>
      <c r="E14" s="47" t="s">
        <v>90</v>
      </c>
      <c r="F14" s="47" t="s">
        <v>97</v>
      </c>
      <c r="G14" s="47" t="s">
        <v>141</v>
      </c>
      <c r="H14" s="47" t="s">
        <v>180</v>
      </c>
      <c r="I14" s="47" t="s">
        <v>206</v>
      </c>
      <c r="J14" s="47" t="s">
        <v>248</v>
      </c>
      <c r="K14" s="47" t="s">
        <v>267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30</v>
      </c>
    </row>
    <row r="15" spans="1:15" s="2" customFormat="1" ht="20.5" x14ac:dyDescent="0.25">
      <c r="A15" s="13"/>
      <c r="B15" s="46">
        <v>12</v>
      </c>
      <c r="C15" s="46" t="s">
        <v>32</v>
      </c>
      <c r="D15" s="46" t="s">
        <v>53</v>
      </c>
      <c r="E15" s="47" t="s">
        <v>90</v>
      </c>
      <c r="F15" s="47" t="s">
        <v>98</v>
      </c>
      <c r="G15" s="47" t="s">
        <v>142</v>
      </c>
      <c r="H15" s="47" t="s">
        <v>179</v>
      </c>
      <c r="I15" s="47" t="s">
        <v>207</v>
      </c>
      <c r="J15" s="47" t="s">
        <v>246</v>
      </c>
      <c r="K15" s="47" t="s">
        <v>267</v>
      </c>
      <c r="L15" s="49">
        <f t="shared" ref="L15" si="8">+IF(OR(K15="BGA",K15="FP",K15="TH"),1,IF($K$4*B15&lt;100,5,0))</f>
        <v>0</v>
      </c>
      <c r="M15" s="48">
        <f t="shared" ref="M15" si="9">+IF(AND(K15="",$K$4*B15&gt;100),0.05,0)</f>
        <v>0.05</v>
      </c>
      <c r="N15" s="49">
        <f t="shared" ref="N15" si="10">+ROUNDUP($K$4*B15*M15+L15,0)</f>
        <v>6</v>
      </c>
      <c r="O15" s="42">
        <f t="shared" ref="O15" si="11">+IF(OR(LEFT(I15&amp;"",1)="C",LEFT(I15&amp;"",1)="R"),ROUNDUP($K$4*B15+N15,-1),$K$4*B15+N15)</f>
        <v>130</v>
      </c>
    </row>
    <row r="16" spans="1:15" s="2" customFormat="1" ht="13" x14ac:dyDescent="0.25">
      <c r="A16" s="13"/>
      <c r="B16" s="46">
        <v>4</v>
      </c>
      <c r="C16" s="46" t="s">
        <v>29</v>
      </c>
      <c r="D16" s="46" t="s">
        <v>54</v>
      </c>
      <c r="E16" s="47" t="s">
        <v>90</v>
      </c>
      <c r="F16" s="47" t="s">
        <v>99</v>
      </c>
      <c r="G16" s="47" t="s">
        <v>143</v>
      </c>
      <c r="H16" s="47" t="s">
        <v>179</v>
      </c>
      <c r="I16" s="47" t="s">
        <v>208</v>
      </c>
      <c r="J16" s="47" t="s">
        <v>246</v>
      </c>
      <c r="K16" s="47" t="s">
        <v>267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50</v>
      </c>
    </row>
    <row r="17" spans="1:15" s="2" customFormat="1" ht="13" x14ac:dyDescent="0.25">
      <c r="A17" s="13"/>
      <c r="B17" s="46">
        <v>4</v>
      </c>
      <c r="C17" s="46" t="s">
        <v>29</v>
      </c>
      <c r="D17" s="46" t="s">
        <v>55</v>
      </c>
      <c r="E17" s="47" t="s">
        <v>90</v>
      </c>
      <c r="F17" s="47" t="s">
        <v>100</v>
      </c>
      <c r="G17" s="47" t="s">
        <v>144</v>
      </c>
      <c r="H17" s="47" t="s">
        <v>179</v>
      </c>
      <c r="I17" s="47" t="s">
        <v>209</v>
      </c>
      <c r="J17" s="47" t="s">
        <v>246</v>
      </c>
      <c r="K17" s="47" t="s">
        <v>267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50</v>
      </c>
    </row>
    <row r="18" spans="1:15" s="2" customFormat="1" ht="13" x14ac:dyDescent="0.25">
      <c r="A18" s="13"/>
      <c r="B18" s="46">
        <v>4</v>
      </c>
      <c r="C18" s="46" t="s">
        <v>29</v>
      </c>
      <c r="D18" s="46" t="s">
        <v>56</v>
      </c>
      <c r="E18" s="47" t="s">
        <v>90</v>
      </c>
      <c r="F18" s="47" t="s">
        <v>101</v>
      </c>
      <c r="G18" s="47" t="s">
        <v>145</v>
      </c>
      <c r="H18" s="47" t="s">
        <v>179</v>
      </c>
      <c r="I18" s="47" t="s">
        <v>210</v>
      </c>
      <c r="J18" s="47" t="s">
        <v>246</v>
      </c>
      <c r="K18" s="47" t="s">
        <v>267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50</v>
      </c>
    </row>
    <row r="19" spans="1:15" s="2" customFormat="1" ht="13" x14ac:dyDescent="0.25">
      <c r="A19" s="13"/>
      <c r="B19" s="46">
        <v>4</v>
      </c>
      <c r="C19" s="46" t="s">
        <v>29</v>
      </c>
      <c r="D19" s="46" t="s">
        <v>57</v>
      </c>
      <c r="E19" s="47" t="s">
        <v>90</v>
      </c>
      <c r="F19" s="47" t="s">
        <v>102</v>
      </c>
      <c r="G19" s="47" t="s">
        <v>146</v>
      </c>
      <c r="H19" s="47" t="s">
        <v>179</v>
      </c>
      <c r="I19" s="47" t="s">
        <v>211</v>
      </c>
      <c r="J19" s="47" t="s">
        <v>246</v>
      </c>
      <c r="K19" s="47" t="s">
        <v>267</v>
      </c>
      <c r="L19" s="49">
        <f t="shared" ref="L19" si="16">+IF(OR(K19="BGA",K19="FP",K19="TH"),1,IF($K$4*B19&lt;100,5,0))</f>
        <v>5</v>
      </c>
      <c r="M19" s="48">
        <f t="shared" ref="M19" si="17">+IF(AND(K19="",$K$4*B19&gt;100),0.05,0)</f>
        <v>0</v>
      </c>
      <c r="N19" s="49">
        <f t="shared" ref="N19" si="18">+ROUNDUP($K$4*B19*M19+L19,0)</f>
        <v>5</v>
      </c>
      <c r="O19" s="42">
        <f t="shared" ref="O19" si="19">+IF(OR(LEFT(I19&amp;"",1)="C",LEFT(I19&amp;"",1)="R"),ROUNDUP($K$4*B19+N19,-1),$K$4*B19+N19)</f>
        <v>50</v>
      </c>
    </row>
    <row r="20" spans="1:15" s="2" customFormat="1" ht="20.5" x14ac:dyDescent="0.25">
      <c r="A20" s="13"/>
      <c r="B20" s="46">
        <v>12</v>
      </c>
      <c r="C20" s="46" t="s">
        <v>33</v>
      </c>
      <c r="D20" s="46" t="s">
        <v>58</v>
      </c>
      <c r="E20" s="47" t="s">
        <v>90</v>
      </c>
      <c r="F20" s="47" t="s">
        <v>103</v>
      </c>
      <c r="G20" s="47" t="s">
        <v>147</v>
      </c>
      <c r="H20" s="47" t="s">
        <v>179</v>
      </c>
      <c r="I20" s="47" t="s">
        <v>212</v>
      </c>
      <c r="J20" s="47" t="s">
        <v>246</v>
      </c>
      <c r="K20" s="47" t="s">
        <v>267</v>
      </c>
      <c r="L20" s="49">
        <f>+IF(OR(K20="BGA",K20="FP",K20="TH"),1,IF($K$4*B20&lt;100,5,0))</f>
        <v>0</v>
      </c>
      <c r="M20" s="48">
        <f>+IF(AND(K20="",$K$4*B20&gt;100),0.05,0)</f>
        <v>0.05</v>
      </c>
      <c r="N20" s="49">
        <f>+ROUNDUP($K$4*B20*M20+L20,0)</f>
        <v>6</v>
      </c>
      <c r="O20" s="42">
        <f>+IF(OR(LEFT(I20&amp;"",1)="C",LEFT(I20&amp;"",1)="R"),ROUNDUP($K$4*B20+N20,-1),$K$4*B20+N20)</f>
        <v>130</v>
      </c>
    </row>
    <row r="21" spans="1:15" s="2" customFormat="1" ht="70.5" x14ac:dyDescent="0.25">
      <c r="A21" s="13"/>
      <c r="B21" s="46">
        <v>58</v>
      </c>
      <c r="C21" s="46" t="s">
        <v>34</v>
      </c>
      <c r="D21" s="46" t="s">
        <v>59</v>
      </c>
      <c r="E21" s="47" t="s">
        <v>90</v>
      </c>
      <c r="F21" s="47" t="s">
        <v>104</v>
      </c>
      <c r="G21" s="47" t="s">
        <v>148</v>
      </c>
      <c r="H21" s="47" t="s">
        <v>181</v>
      </c>
      <c r="I21" s="47" t="s">
        <v>213</v>
      </c>
      <c r="J21" s="47" t="s">
        <v>249</v>
      </c>
      <c r="K21" s="47" t="s">
        <v>267</v>
      </c>
      <c r="L21" s="49">
        <f t="shared" ref="L21" si="20">+IF(OR(K21="BGA",K21="FP",K21="TH"),1,IF($K$4*B21&lt;100,5,0))</f>
        <v>0</v>
      </c>
      <c r="M21" s="48">
        <f t="shared" ref="M21" si="21">+IF(AND(K21="",$K$4*B21&gt;100),0.05,0)</f>
        <v>0.05</v>
      </c>
      <c r="N21" s="49">
        <f t="shared" ref="N21" si="22">+ROUNDUP($K$4*B21*M21+L21,0)</f>
        <v>29</v>
      </c>
      <c r="O21" s="42">
        <f t="shared" ref="O21" si="23">+IF(OR(LEFT(I21&amp;"",1)="C",LEFT(I21&amp;"",1)="R"),ROUNDUP($K$4*B21+N21,-1),$K$4*B21+N21)</f>
        <v>609</v>
      </c>
    </row>
    <row r="22" spans="1:15" s="2" customFormat="1" ht="13" x14ac:dyDescent="0.25">
      <c r="A22" s="13"/>
      <c r="B22" s="46">
        <v>1</v>
      </c>
      <c r="C22" s="46" t="s">
        <v>35</v>
      </c>
      <c r="D22" s="46" t="s">
        <v>60</v>
      </c>
      <c r="E22" s="47" t="s">
        <v>90</v>
      </c>
      <c r="F22" s="47" t="s">
        <v>105</v>
      </c>
      <c r="G22" s="47" t="s">
        <v>149</v>
      </c>
      <c r="H22" s="47" t="s">
        <v>182</v>
      </c>
      <c r="I22" s="47" t="s">
        <v>214</v>
      </c>
      <c r="J22" s="47" t="s">
        <v>250</v>
      </c>
      <c r="K22" s="47" t="s">
        <v>268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11</v>
      </c>
    </row>
    <row r="23" spans="1:15" s="2" customFormat="1" ht="13" x14ac:dyDescent="0.25">
      <c r="A23" s="13"/>
      <c r="B23" s="46">
        <v>8</v>
      </c>
      <c r="C23" s="46" t="s">
        <v>36</v>
      </c>
      <c r="D23" s="46">
        <v>732517040</v>
      </c>
      <c r="E23" s="47" t="s">
        <v>90</v>
      </c>
      <c r="F23" s="47" t="s">
        <v>106</v>
      </c>
      <c r="G23" s="47" t="s">
        <v>150</v>
      </c>
      <c r="H23" s="47" t="s">
        <v>183</v>
      </c>
      <c r="I23" s="47" t="s">
        <v>215</v>
      </c>
      <c r="J23" s="47" t="s">
        <v>150</v>
      </c>
      <c r="K23" s="47" t="s">
        <v>268</v>
      </c>
      <c r="L23" s="49">
        <f t="shared" ref="L23" si="24">+IF(OR(K23="BGA",K23="FP",K23="TH"),1,IF($K$4*B23&lt;100,5,0))</f>
        <v>1</v>
      </c>
      <c r="M23" s="48">
        <f t="shared" ref="M23" si="25">+IF(AND(K23="",$K$4*B23&gt;100),0.05,0)</f>
        <v>0</v>
      </c>
      <c r="N23" s="49">
        <f t="shared" ref="N23" si="26">+ROUNDUP($K$4*B23*M23+L23,0)</f>
        <v>1</v>
      </c>
      <c r="O23" s="42">
        <f t="shared" ref="O23" si="27">+IF(OR(LEFT(I23&amp;"",1)="C",LEFT(I23&amp;"",1)="R"),ROUNDUP($K$4*B23+N23,-1),$K$4*B23+N23)</f>
        <v>81</v>
      </c>
    </row>
    <row r="24" spans="1:15" s="2" customFormat="1" ht="20.5" x14ac:dyDescent="0.25">
      <c r="A24" s="13"/>
      <c r="B24" s="46">
        <v>1</v>
      </c>
      <c r="C24" s="46" t="s">
        <v>37</v>
      </c>
      <c r="D24" s="46" t="s">
        <v>61</v>
      </c>
      <c r="E24" s="47" t="s">
        <v>90</v>
      </c>
      <c r="F24" s="47" t="s">
        <v>107</v>
      </c>
      <c r="G24" s="47" t="s">
        <v>151</v>
      </c>
      <c r="H24" s="47" t="s">
        <v>184</v>
      </c>
      <c r="I24" s="47" t="s">
        <v>216</v>
      </c>
      <c r="J24" s="47" t="s">
        <v>251</v>
      </c>
      <c r="K24" s="47" t="s">
        <v>268</v>
      </c>
      <c r="L24" s="49">
        <f>+IF(OR(K24="BGA",K24="FP",K24="TH"),1,IF($K$4*B24&lt;100,5,0))</f>
        <v>1</v>
      </c>
      <c r="M24" s="48">
        <f>+IF(AND(K24="",$K$4*B24&gt;100),0.05,0)</f>
        <v>0</v>
      </c>
      <c r="N24" s="49">
        <f>+ROUNDUP($K$4*B24*M24+L24,0)</f>
        <v>1</v>
      </c>
      <c r="O24" s="42">
        <f>+IF(OR(LEFT(I24&amp;"",1)="C",LEFT(I24&amp;"",1)="R"),ROUNDUP($K$4*B24+N24,-1),$K$4*B24+N24)</f>
        <v>11</v>
      </c>
    </row>
    <row r="25" spans="1:15" s="2" customFormat="1" ht="13" x14ac:dyDescent="0.25">
      <c r="A25" s="13"/>
      <c r="B25" s="46">
        <v>1</v>
      </c>
      <c r="C25" s="46" t="s">
        <v>37</v>
      </c>
      <c r="D25" s="46" t="s">
        <v>62</v>
      </c>
      <c r="E25" s="47" t="s">
        <v>90</v>
      </c>
      <c r="F25" s="47" t="s">
        <v>108</v>
      </c>
      <c r="G25" s="47" t="s">
        <v>152</v>
      </c>
      <c r="H25" s="47" t="s">
        <v>185</v>
      </c>
      <c r="I25" s="47" t="s">
        <v>217</v>
      </c>
      <c r="J25" s="47" t="s">
        <v>252</v>
      </c>
      <c r="K25" s="47" t="s">
        <v>268</v>
      </c>
      <c r="L25" s="49">
        <f t="shared" ref="L25" si="28">+IF(OR(K25="BGA",K25="FP",K25="TH"),1,IF($K$4*B25&lt;100,5,0))</f>
        <v>1</v>
      </c>
      <c r="M25" s="48">
        <f t="shared" ref="M25" si="29">+IF(AND(K25="",$K$4*B25&gt;100),0.05,0)</f>
        <v>0</v>
      </c>
      <c r="N25" s="49">
        <f t="shared" ref="N25" si="30">+ROUNDUP($K$4*B25*M25+L25,0)</f>
        <v>1</v>
      </c>
      <c r="O25" s="42">
        <f t="shared" ref="O25" si="31">+IF(OR(LEFT(I25&amp;"",1)="C",LEFT(I25&amp;"",1)="R"),ROUNDUP($K$4*B25+N25,-1),$K$4*B25+N25)</f>
        <v>11</v>
      </c>
    </row>
    <row r="26" spans="1:15" s="2" customFormat="1" ht="13" x14ac:dyDescent="0.25">
      <c r="A26" s="13"/>
      <c r="B26" s="46">
        <v>4</v>
      </c>
      <c r="C26" s="46" t="s">
        <v>38</v>
      </c>
      <c r="D26" s="46" t="s">
        <v>63</v>
      </c>
      <c r="E26" s="47" t="s">
        <v>90</v>
      </c>
      <c r="F26" s="47" t="s">
        <v>109</v>
      </c>
      <c r="G26" s="47" t="s">
        <v>153</v>
      </c>
      <c r="H26" s="47" t="s">
        <v>186</v>
      </c>
      <c r="I26" s="47" t="s">
        <v>218</v>
      </c>
      <c r="J26" s="47" t="s">
        <v>253</v>
      </c>
      <c r="K26" s="47" t="s">
        <v>267</v>
      </c>
      <c r="L26" s="49">
        <f t="shared" ref="L26" si="32">+IF(OR(K26="BGA",K26="FP",K26="TH"),1,IF($K$4*B26&lt;100,5,0))</f>
        <v>5</v>
      </c>
      <c r="M26" s="48">
        <f t="shared" ref="M26" si="33">+IF(AND(K26="",$K$4*B26&gt;100),0.05,0)</f>
        <v>0</v>
      </c>
      <c r="N26" s="49">
        <f t="shared" ref="N26" si="34">+ROUNDUP($K$4*B26*M26+L26,0)</f>
        <v>5</v>
      </c>
      <c r="O26" s="42">
        <f t="shared" ref="O26" si="35">+IF(OR(LEFT(I26&amp;"",1)="C",LEFT(I26&amp;"",1)="R"),ROUNDUP($K$4*B26+N26,-1),$K$4*B26+N26)</f>
        <v>45</v>
      </c>
    </row>
    <row r="27" spans="1:15" s="2" customFormat="1" ht="13" x14ac:dyDescent="0.25">
      <c r="A27" s="13"/>
      <c r="B27" s="46">
        <v>2</v>
      </c>
      <c r="C27" s="46" t="s">
        <v>37</v>
      </c>
      <c r="D27" s="46" t="s">
        <v>64</v>
      </c>
      <c r="E27" s="47" t="s">
        <v>90</v>
      </c>
      <c r="F27" s="47" t="s">
        <v>110</v>
      </c>
      <c r="G27" s="47" t="s">
        <v>154</v>
      </c>
      <c r="H27" s="47" t="s">
        <v>187</v>
      </c>
      <c r="I27" s="47" t="s">
        <v>219</v>
      </c>
      <c r="J27" s="47" t="s">
        <v>254</v>
      </c>
      <c r="K27" s="47" t="s">
        <v>268</v>
      </c>
      <c r="L27" s="49">
        <f>+IF(OR(K27="BGA",K27="FP",K27="TH"),1,IF($K$4*B27&lt;100,5,0))</f>
        <v>1</v>
      </c>
      <c r="M27" s="48">
        <f>+IF(AND(K27="",$K$4*B27&gt;100),0.05,0)</f>
        <v>0</v>
      </c>
      <c r="N27" s="49">
        <f>+ROUNDUP($K$4*B27*M27+L27,0)</f>
        <v>1</v>
      </c>
      <c r="O27" s="42">
        <f>+IF(OR(LEFT(I27&amp;"",1)="C",LEFT(I27&amp;"",1)="R"),ROUNDUP($K$4*B27+N27,-1),$K$4*B27+N27)</f>
        <v>21</v>
      </c>
    </row>
    <row r="28" spans="1:15" s="2" customFormat="1" ht="13" x14ac:dyDescent="0.25">
      <c r="A28" s="13"/>
      <c r="B28" s="46">
        <v>1</v>
      </c>
      <c r="C28" s="46" t="s">
        <v>37</v>
      </c>
      <c r="D28" s="46" t="s">
        <v>65</v>
      </c>
      <c r="E28" s="47" t="s">
        <v>90</v>
      </c>
      <c r="F28" s="47" t="s">
        <v>111</v>
      </c>
      <c r="G28" s="47" t="s">
        <v>155</v>
      </c>
      <c r="H28" s="47" t="s">
        <v>188</v>
      </c>
      <c r="I28" s="47" t="s">
        <v>220</v>
      </c>
      <c r="J28" s="47" t="s">
        <v>255</v>
      </c>
      <c r="K28" s="47" t="s">
        <v>268</v>
      </c>
      <c r="L28" s="49">
        <f t="shared" ref="L28" si="36">+IF(OR(K28="BGA",K28="FP",K28="TH"),1,IF($K$4*B28&lt;100,5,0))</f>
        <v>1</v>
      </c>
      <c r="M28" s="48">
        <f t="shared" ref="M28" si="37">+IF(AND(K28="",$K$4*B28&gt;100),0.05,0)</f>
        <v>0</v>
      </c>
      <c r="N28" s="49">
        <f t="shared" ref="N28" si="38">+ROUNDUP($K$4*B28*M28+L28,0)</f>
        <v>1</v>
      </c>
      <c r="O28" s="42">
        <f t="shared" ref="O28" si="39">+IF(OR(LEFT(I28&amp;"",1)="C",LEFT(I28&amp;"",1)="R"),ROUNDUP($K$4*B28+N28,-1),$K$4*B28+N28)</f>
        <v>11</v>
      </c>
    </row>
    <row r="29" spans="1:15" s="2" customFormat="1" ht="13" x14ac:dyDescent="0.25">
      <c r="A29" s="13"/>
      <c r="B29" s="46">
        <v>1</v>
      </c>
      <c r="C29" s="46" t="s">
        <v>36</v>
      </c>
      <c r="D29" s="46" t="s">
        <v>66</v>
      </c>
      <c r="E29" s="47" t="s">
        <v>90</v>
      </c>
      <c r="F29" s="47" t="s">
        <v>112</v>
      </c>
      <c r="G29" s="47" t="s">
        <v>156</v>
      </c>
      <c r="H29" s="47" t="s">
        <v>189</v>
      </c>
      <c r="I29" s="47" t="s">
        <v>221</v>
      </c>
      <c r="J29" s="47" t="s">
        <v>256</v>
      </c>
      <c r="K29" s="47" t="s">
        <v>268</v>
      </c>
      <c r="L29" s="49">
        <f>+IF(OR(K29="BGA",K29="FP",K29="TH"),1,IF($K$4*B29&lt;100,5,0))</f>
        <v>1</v>
      </c>
      <c r="M29" s="48">
        <f>+IF(AND(K29="",$K$4*B29&gt;100),0.05,0)</f>
        <v>0</v>
      </c>
      <c r="N29" s="49">
        <f>+ROUNDUP($K$4*B29*M29+L29,0)</f>
        <v>1</v>
      </c>
      <c r="O29" s="42">
        <f>+IF(OR(LEFT(I29&amp;"",1)="C",LEFT(I29&amp;"",1)="R"),ROUNDUP($K$4*B29+N29,-1),$K$4*B29+N29)</f>
        <v>11</v>
      </c>
    </row>
    <row r="30" spans="1:15" s="2" customFormat="1" ht="50.5" x14ac:dyDescent="0.25">
      <c r="A30" s="13"/>
      <c r="B30" s="46">
        <v>40</v>
      </c>
      <c r="C30" s="46" t="s">
        <v>30</v>
      </c>
      <c r="D30" s="46" t="s">
        <v>67</v>
      </c>
      <c r="E30" s="47" t="s">
        <v>90</v>
      </c>
      <c r="F30" s="47" t="s">
        <v>113</v>
      </c>
      <c r="G30" s="47" t="s">
        <v>157</v>
      </c>
      <c r="H30" s="47" t="s">
        <v>190</v>
      </c>
      <c r="I30" s="47" t="s">
        <v>222</v>
      </c>
      <c r="J30" s="47" t="s">
        <v>246</v>
      </c>
      <c r="K30" s="47" t="s">
        <v>267</v>
      </c>
      <c r="L30" s="49">
        <f t="shared" ref="L30" si="40">+IF(OR(K30="BGA",K30="FP",K30="TH"),1,IF($K$4*B30&lt;100,5,0))</f>
        <v>0</v>
      </c>
      <c r="M30" s="48">
        <f t="shared" ref="M30" si="41">+IF(AND(K30="",$K$4*B30&gt;100),0.05,0)</f>
        <v>0.05</v>
      </c>
      <c r="N30" s="49">
        <f t="shared" ref="N30" si="42">+ROUNDUP($K$4*B30*M30+L30,0)</f>
        <v>20</v>
      </c>
      <c r="O30" s="42">
        <f t="shared" ref="O30" si="43">+IF(OR(LEFT(I30&amp;"",1)="C",LEFT(I30&amp;"",1)="R"),ROUNDUP($K$4*B30+N30,-1),$K$4*B30+N30)</f>
        <v>420</v>
      </c>
    </row>
    <row r="31" spans="1:15" s="2" customFormat="1" ht="20.5" x14ac:dyDescent="0.25">
      <c r="A31" s="13"/>
      <c r="B31" s="46">
        <v>12</v>
      </c>
      <c r="C31" s="46" t="s">
        <v>30</v>
      </c>
      <c r="D31" s="46" t="s">
        <v>68</v>
      </c>
      <c r="E31" s="47" t="s">
        <v>90</v>
      </c>
      <c r="F31" s="47" t="s">
        <v>114</v>
      </c>
      <c r="G31" s="47" t="s">
        <v>158</v>
      </c>
      <c r="H31" s="47" t="s">
        <v>190</v>
      </c>
      <c r="I31" s="47" t="s">
        <v>223</v>
      </c>
      <c r="J31" s="47" t="s">
        <v>246</v>
      </c>
      <c r="K31" s="47" t="s">
        <v>267</v>
      </c>
      <c r="L31" s="49">
        <f>+IF(OR(K31="BGA",K31="FP",K31="TH"),1,IF($K$4*B31&lt;100,5,0))</f>
        <v>0</v>
      </c>
      <c r="M31" s="48">
        <f>+IF(AND(K31="",$K$4*B31&gt;100),0.05,0)</f>
        <v>0.05</v>
      </c>
      <c r="N31" s="49">
        <f>+ROUNDUP($K$4*B31*M31+L31,0)</f>
        <v>6</v>
      </c>
      <c r="O31" s="42">
        <f>+IF(OR(LEFT(I31&amp;"",1)="C",LEFT(I31&amp;"",1)="R"),ROUNDUP($K$4*B31+N31,-1),$K$4*B31+N31)</f>
        <v>130</v>
      </c>
    </row>
    <row r="32" spans="1:15" s="2" customFormat="1" ht="40.5" x14ac:dyDescent="0.25">
      <c r="A32" s="13"/>
      <c r="B32" s="46">
        <v>24</v>
      </c>
      <c r="C32" s="46" t="s">
        <v>39</v>
      </c>
      <c r="D32" s="46" t="s">
        <v>69</v>
      </c>
      <c r="E32" s="47" t="s">
        <v>90</v>
      </c>
      <c r="F32" s="47" t="s">
        <v>115</v>
      </c>
      <c r="G32" s="47" t="s">
        <v>159</v>
      </c>
      <c r="H32" s="47" t="s">
        <v>190</v>
      </c>
      <c r="I32" s="47" t="s">
        <v>224</v>
      </c>
      <c r="J32" s="47" t="s">
        <v>246</v>
      </c>
      <c r="K32" s="47" t="s">
        <v>267</v>
      </c>
      <c r="L32" s="49">
        <f t="shared" ref="L32" si="44">+IF(OR(K32="BGA",K32="FP",K32="TH"),1,IF($K$4*B32&lt;100,5,0))</f>
        <v>0</v>
      </c>
      <c r="M32" s="48">
        <f t="shared" ref="M32" si="45">+IF(AND(K32="",$K$4*B32&gt;100),0.05,0)</f>
        <v>0.05</v>
      </c>
      <c r="N32" s="49">
        <f t="shared" ref="N32" si="46">+ROUNDUP($K$4*B32*M32+L32,0)</f>
        <v>12</v>
      </c>
      <c r="O32" s="42">
        <f t="shared" ref="O32" si="47">+IF(OR(LEFT(I32&amp;"",1)="C",LEFT(I32&amp;"",1)="R"),ROUNDUP($K$4*B32+N32,-1),$K$4*B32+N32)</f>
        <v>260</v>
      </c>
    </row>
    <row r="33" spans="1:15" s="2" customFormat="1" ht="30.5" x14ac:dyDescent="0.25">
      <c r="A33" s="13"/>
      <c r="B33" s="46">
        <v>20</v>
      </c>
      <c r="C33" s="46" t="s">
        <v>30</v>
      </c>
      <c r="D33" s="46" t="s">
        <v>70</v>
      </c>
      <c r="E33" s="47" t="s">
        <v>90</v>
      </c>
      <c r="F33" s="47" t="s">
        <v>116</v>
      </c>
      <c r="G33" s="47" t="s">
        <v>160</v>
      </c>
      <c r="H33" s="47" t="s">
        <v>190</v>
      </c>
      <c r="I33" s="47" t="s">
        <v>225</v>
      </c>
      <c r="J33" s="47" t="s">
        <v>246</v>
      </c>
      <c r="K33" s="47" t="s">
        <v>267</v>
      </c>
      <c r="L33" s="49">
        <f>+IF(OR(K33="BGA",K33="FP",K33="TH"),1,IF($K$4*B33&lt;100,5,0))</f>
        <v>0</v>
      </c>
      <c r="M33" s="48">
        <f>+IF(AND(K33="",$K$4*B33&gt;100),0.05,0)</f>
        <v>0.05</v>
      </c>
      <c r="N33" s="49">
        <f>+ROUNDUP($K$4*B33*M33+L33,0)</f>
        <v>10</v>
      </c>
      <c r="O33" s="42">
        <f>+IF(OR(LEFT(I33&amp;"",1)="C",LEFT(I33&amp;"",1)="R"),ROUNDUP($K$4*B33+N33,-1),$K$4*B33+N33)</f>
        <v>210</v>
      </c>
    </row>
    <row r="34" spans="1:15" s="2" customFormat="1" ht="13" x14ac:dyDescent="0.25">
      <c r="A34" s="13"/>
      <c r="B34" s="46">
        <v>8</v>
      </c>
      <c r="C34" s="46" t="s">
        <v>30</v>
      </c>
      <c r="D34" s="46" t="s">
        <v>71</v>
      </c>
      <c r="E34" s="47" t="s">
        <v>90</v>
      </c>
      <c r="F34" s="47" t="s">
        <v>117</v>
      </c>
      <c r="G34" s="47" t="s">
        <v>161</v>
      </c>
      <c r="H34" s="47" t="s">
        <v>190</v>
      </c>
      <c r="I34" s="47" t="s">
        <v>226</v>
      </c>
      <c r="J34" s="47" t="s">
        <v>246</v>
      </c>
      <c r="K34" s="47" t="s">
        <v>267</v>
      </c>
      <c r="L34" s="49">
        <f t="shared" ref="L34" si="48">+IF(OR(K34="BGA",K34="FP",K34="TH"),1,IF($K$4*B34&lt;100,5,0))</f>
        <v>5</v>
      </c>
      <c r="M34" s="48">
        <f t="shared" ref="M34" si="49">+IF(AND(K34="",$K$4*B34&gt;100),0.05,0)</f>
        <v>0</v>
      </c>
      <c r="N34" s="49">
        <f t="shared" ref="N34" si="50">+ROUNDUP($K$4*B34*M34+L34,0)</f>
        <v>5</v>
      </c>
      <c r="O34" s="42">
        <f t="shared" ref="O34" si="51">+IF(OR(LEFT(I34&amp;"",1)="C",LEFT(I34&amp;"",1)="R"),ROUNDUP($K$4*B34+N34,-1),$K$4*B34+N34)</f>
        <v>90</v>
      </c>
    </row>
    <row r="35" spans="1:15" s="2" customFormat="1" ht="13" x14ac:dyDescent="0.25">
      <c r="A35" s="13"/>
      <c r="B35" s="46">
        <v>4</v>
      </c>
      <c r="C35" s="46" t="s">
        <v>30</v>
      </c>
      <c r="D35" s="46" t="s">
        <v>72</v>
      </c>
      <c r="E35" s="47" t="s">
        <v>90</v>
      </c>
      <c r="F35" s="47" t="s">
        <v>118</v>
      </c>
      <c r="G35" s="47" t="s">
        <v>162</v>
      </c>
      <c r="H35" s="47" t="s">
        <v>190</v>
      </c>
      <c r="I35" s="47" t="s">
        <v>227</v>
      </c>
      <c r="J35" s="47" t="s">
        <v>246</v>
      </c>
      <c r="K35" s="47" t="s">
        <v>267</v>
      </c>
      <c r="L35" s="49">
        <f>+IF(OR(K35="BGA",K35="FP",K35="TH"),1,IF($K$4*B35&lt;100,5,0))</f>
        <v>5</v>
      </c>
      <c r="M35" s="48">
        <f>+IF(AND(K35="",$K$4*B35&gt;100),0.05,0)</f>
        <v>0</v>
      </c>
      <c r="N35" s="49">
        <f>+ROUNDUP($K$4*B35*M35+L35,0)</f>
        <v>5</v>
      </c>
      <c r="O35" s="42">
        <f>+IF(OR(LEFT(I35&amp;"",1)="C",LEFT(I35&amp;"",1)="R"),ROUNDUP($K$4*B35+N35,-1),$K$4*B35+N35)</f>
        <v>50</v>
      </c>
    </row>
    <row r="36" spans="1:15" s="2" customFormat="1" ht="13" x14ac:dyDescent="0.25">
      <c r="A36" s="13"/>
      <c r="B36" s="46">
        <v>4</v>
      </c>
      <c r="C36" s="46" t="s">
        <v>30</v>
      </c>
      <c r="D36" s="46" t="s">
        <v>73</v>
      </c>
      <c r="E36" s="47" t="s">
        <v>90</v>
      </c>
      <c r="F36" s="47" t="s">
        <v>119</v>
      </c>
      <c r="G36" s="47" t="s">
        <v>163</v>
      </c>
      <c r="H36" s="47" t="s">
        <v>190</v>
      </c>
      <c r="I36" s="47" t="s">
        <v>228</v>
      </c>
      <c r="J36" s="47" t="s">
        <v>246</v>
      </c>
      <c r="K36" s="47" t="s">
        <v>267</v>
      </c>
      <c r="L36" s="49">
        <f t="shared" ref="L36" si="52">+IF(OR(K36="BGA",K36="FP",K36="TH"),1,IF($K$4*B36&lt;100,5,0))</f>
        <v>5</v>
      </c>
      <c r="M36" s="48">
        <f t="shared" ref="M36" si="53">+IF(AND(K36="",$K$4*B36&gt;100),0.05,0)</f>
        <v>0</v>
      </c>
      <c r="N36" s="49">
        <f t="shared" ref="N36" si="54">+ROUNDUP($K$4*B36*M36+L36,0)</f>
        <v>5</v>
      </c>
      <c r="O36" s="42">
        <f t="shared" ref="O36" si="55">+IF(OR(LEFT(I36&amp;"",1)="C",LEFT(I36&amp;"",1)="R"),ROUNDUP($K$4*B36+N36,-1),$K$4*B36+N36)</f>
        <v>50</v>
      </c>
    </row>
    <row r="37" spans="1:15" s="2" customFormat="1" ht="13" x14ac:dyDescent="0.25">
      <c r="A37" s="13"/>
      <c r="B37" s="46">
        <v>4</v>
      </c>
      <c r="C37" s="46" t="s">
        <v>30</v>
      </c>
      <c r="D37" s="46" t="s">
        <v>74</v>
      </c>
      <c r="E37" s="47" t="s">
        <v>90</v>
      </c>
      <c r="F37" s="47" t="s">
        <v>120</v>
      </c>
      <c r="G37" s="47" t="s">
        <v>164</v>
      </c>
      <c r="H37" s="47" t="s">
        <v>190</v>
      </c>
      <c r="I37" s="47" t="s">
        <v>229</v>
      </c>
      <c r="J37" s="47" t="s">
        <v>246</v>
      </c>
      <c r="K37" s="47" t="s">
        <v>267</v>
      </c>
      <c r="L37" s="49">
        <f>+IF(OR(K37="BGA",K37="FP",K37="TH"),1,IF($K$4*B37&lt;100,5,0))</f>
        <v>5</v>
      </c>
      <c r="M37" s="48">
        <f>+IF(AND(K37="",$K$4*B37&gt;100),0.05,0)</f>
        <v>0</v>
      </c>
      <c r="N37" s="49">
        <f>+ROUNDUP($K$4*B37*M37+L37,0)</f>
        <v>5</v>
      </c>
      <c r="O37" s="42">
        <f>+IF(OR(LEFT(I37&amp;"",1)="C",LEFT(I37&amp;"",1)="R"),ROUNDUP($K$4*B37+N37,-1),$K$4*B37+N37)</f>
        <v>50</v>
      </c>
    </row>
    <row r="38" spans="1:15" s="2" customFormat="1" ht="20.5" x14ac:dyDescent="0.25">
      <c r="A38" s="13"/>
      <c r="B38" s="46">
        <v>12</v>
      </c>
      <c r="C38" s="46" t="s">
        <v>30</v>
      </c>
      <c r="D38" s="46" t="s">
        <v>75</v>
      </c>
      <c r="E38" s="47" t="s">
        <v>90</v>
      </c>
      <c r="F38" s="47" t="s">
        <v>121</v>
      </c>
      <c r="G38" s="47" t="s">
        <v>165</v>
      </c>
      <c r="H38" s="47" t="s">
        <v>190</v>
      </c>
      <c r="I38" s="47" t="s">
        <v>230</v>
      </c>
      <c r="J38" s="47" t="s">
        <v>246</v>
      </c>
      <c r="K38" s="47" t="s">
        <v>267</v>
      </c>
      <c r="L38" s="49">
        <f t="shared" ref="L38" si="56">+IF(OR(K38="BGA",K38="FP",K38="TH"),1,IF($K$4*B38&lt;100,5,0))</f>
        <v>0</v>
      </c>
      <c r="M38" s="48">
        <f t="shared" ref="M38" si="57">+IF(AND(K38="",$K$4*B38&gt;100),0.05,0)</f>
        <v>0.05</v>
      </c>
      <c r="N38" s="49">
        <f t="shared" ref="N38" si="58">+ROUNDUP($K$4*B38*M38+L38,0)</f>
        <v>6</v>
      </c>
      <c r="O38" s="42">
        <f t="shared" ref="O38" si="59">+IF(OR(LEFT(I38&amp;"",1)="C",LEFT(I38&amp;"",1)="R"),ROUNDUP($K$4*B38+N38,-1),$K$4*B38+N38)</f>
        <v>130</v>
      </c>
    </row>
    <row r="39" spans="1:15" s="2" customFormat="1" ht="20.5" x14ac:dyDescent="0.25">
      <c r="A39" s="13"/>
      <c r="B39" s="46">
        <v>8</v>
      </c>
      <c r="C39" s="46" t="s">
        <v>30</v>
      </c>
      <c r="D39" s="46" t="s">
        <v>76</v>
      </c>
      <c r="E39" s="47" t="s">
        <v>90</v>
      </c>
      <c r="F39" s="47" t="s">
        <v>122</v>
      </c>
      <c r="G39" s="47" t="s">
        <v>166</v>
      </c>
      <c r="H39" s="47" t="s">
        <v>190</v>
      </c>
      <c r="I39" s="47" t="s">
        <v>231</v>
      </c>
      <c r="J39" s="47" t="s">
        <v>246</v>
      </c>
      <c r="K39" s="47" t="s">
        <v>267</v>
      </c>
      <c r="L39" s="49">
        <f>+IF(OR(K39="BGA",K39="FP",K39="TH"),1,IF($K$4*B39&lt;100,5,0))</f>
        <v>5</v>
      </c>
      <c r="M39" s="48">
        <f>+IF(AND(K39="",$K$4*B39&gt;100),0.05,0)</f>
        <v>0</v>
      </c>
      <c r="N39" s="49">
        <f>+ROUNDUP($K$4*B39*M39+L39,0)</f>
        <v>5</v>
      </c>
      <c r="O39" s="42">
        <f>+IF(OR(LEFT(I39&amp;"",1)="C",LEFT(I39&amp;"",1)="R"),ROUNDUP($K$4*B39+N39,-1),$K$4*B39+N39)</f>
        <v>90</v>
      </c>
    </row>
    <row r="40" spans="1:15" s="2" customFormat="1" ht="20.5" x14ac:dyDescent="0.25">
      <c r="A40" s="13"/>
      <c r="B40" s="46">
        <v>8</v>
      </c>
      <c r="C40" s="46" t="s">
        <v>30</v>
      </c>
      <c r="D40" s="46" t="s">
        <v>77</v>
      </c>
      <c r="E40" s="47" t="s">
        <v>91</v>
      </c>
      <c r="F40" s="47" t="s">
        <v>123</v>
      </c>
      <c r="G40" s="47" t="s">
        <v>167</v>
      </c>
      <c r="H40" s="47" t="s">
        <v>190</v>
      </c>
      <c r="I40" s="47" t="s">
        <v>232</v>
      </c>
      <c r="J40" s="47" t="s">
        <v>246</v>
      </c>
      <c r="K40" s="47" t="s">
        <v>267</v>
      </c>
      <c r="L40" s="49">
        <f t="shared" ref="L40" si="60">+IF(OR(K40="BGA",K40="FP",K40="TH"),1,IF($K$4*B40&lt;100,5,0))</f>
        <v>5</v>
      </c>
      <c r="M40" s="48">
        <f t="shared" ref="M40" si="61">+IF(AND(K40="",$K$4*B40&gt;100),0.05,0)</f>
        <v>0</v>
      </c>
      <c r="N40" s="49">
        <f t="shared" ref="N40" si="62">+ROUNDUP($K$4*B40*M40+L40,0)</f>
        <v>5</v>
      </c>
      <c r="O40" s="42">
        <f t="shared" ref="O40" si="63">+IF(OR(LEFT(I40&amp;"",1)="C",LEFT(I40&amp;"",1)="R"),ROUNDUP($K$4*B40+N40,-1),$K$4*B40+N40)</f>
        <v>90</v>
      </c>
    </row>
    <row r="41" spans="1:15" s="2" customFormat="1" ht="40.5" x14ac:dyDescent="0.25">
      <c r="A41" s="13"/>
      <c r="B41" s="46">
        <v>16</v>
      </c>
      <c r="C41" s="46" t="s">
        <v>30</v>
      </c>
      <c r="D41" s="46" t="s">
        <v>78</v>
      </c>
      <c r="E41" s="47" t="s">
        <v>90</v>
      </c>
      <c r="F41" s="47" t="s">
        <v>124</v>
      </c>
      <c r="G41" s="47" t="s">
        <v>168</v>
      </c>
      <c r="H41" s="47" t="s">
        <v>190</v>
      </c>
      <c r="I41" s="47" t="s">
        <v>233</v>
      </c>
      <c r="J41" s="47" t="s">
        <v>246</v>
      </c>
      <c r="K41" s="47" t="s">
        <v>267</v>
      </c>
      <c r="L41" s="49">
        <f>+IF(OR(K41="BGA",K41="FP",K41="TH"),1,IF($K$4*B41&lt;100,5,0))</f>
        <v>0</v>
      </c>
      <c r="M41" s="48">
        <f>+IF(AND(K41="",$K$4*B41&gt;100),0.05,0)</f>
        <v>0.05</v>
      </c>
      <c r="N41" s="49">
        <f>+ROUNDUP($K$4*B41*M41+L41,0)</f>
        <v>8</v>
      </c>
      <c r="O41" s="42">
        <f>+IF(OR(LEFT(I41&amp;"",1)="C",LEFT(I41&amp;"",1)="R"),ROUNDUP($K$4*B41+N41,-1),$K$4*B41+N41)</f>
        <v>170</v>
      </c>
    </row>
    <row r="42" spans="1:15" s="2" customFormat="1" ht="13" x14ac:dyDescent="0.25">
      <c r="A42" s="13"/>
      <c r="B42" s="46">
        <v>4</v>
      </c>
      <c r="C42" s="46" t="s">
        <v>40</v>
      </c>
      <c r="D42" s="46" t="s">
        <v>79</v>
      </c>
      <c r="E42" s="47" t="s">
        <v>90</v>
      </c>
      <c r="F42" s="47" t="s">
        <v>125</v>
      </c>
      <c r="G42" s="47" t="s">
        <v>169</v>
      </c>
      <c r="H42" s="47" t="s">
        <v>191</v>
      </c>
      <c r="I42" s="47" t="s">
        <v>234</v>
      </c>
      <c r="J42" s="47" t="s">
        <v>257</v>
      </c>
      <c r="K42" s="47" t="s">
        <v>267</v>
      </c>
      <c r="L42" s="49">
        <f t="shared" ref="L42" si="64">+IF(OR(K42="BGA",K42="FP",K42="TH"),1,IF($K$4*B42&lt;100,5,0))</f>
        <v>5</v>
      </c>
      <c r="M42" s="48">
        <f t="shared" ref="M42" si="65">+IF(AND(K42="",$K$4*B42&gt;100),0.05,0)</f>
        <v>0</v>
      </c>
      <c r="N42" s="49">
        <f t="shared" ref="N42" si="66">+ROUNDUP($K$4*B42*M42+L42,0)</f>
        <v>5</v>
      </c>
      <c r="O42" s="42">
        <f t="shared" ref="O42" si="67">+IF(OR(LEFT(I42&amp;"",1)="C",LEFT(I42&amp;"",1)="R"),ROUNDUP($K$4*B42+N42,-1),$K$4*B42+N42)</f>
        <v>50</v>
      </c>
    </row>
    <row r="43" spans="1:15" s="2" customFormat="1" ht="13" x14ac:dyDescent="0.25">
      <c r="A43" s="13"/>
      <c r="B43" s="46">
        <v>4</v>
      </c>
      <c r="C43" s="46" t="s">
        <v>38</v>
      </c>
      <c r="D43" s="46" t="s">
        <v>80</v>
      </c>
      <c r="E43" s="47" t="s">
        <v>90</v>
      </c>
      <c r="F43" s="47" t="s">
        <v>126</v>
      </c>
      <c r="G43" s="47" t="s">
        <v>170</v>
      </c>
      <c r="H43" s="47" t="s">
        <v>192</v>
      </c>
      <c r="I43" s="47" t="s">
        <v>235</v>
      </c>
      <c r="J43" s="47" t="s">
        <v>258</v>
      </c>
      <c r="K43" s="47" t="s">
        <v>267</v>
      </c>
      <c r="L43" s="49">
        <f>+IF(OR(K43="BGA",K43="FP",K43="TH"),1,IF($K$4*B43&lt;100,5,0))</f>
        <v>5</v>
      </c>
      <c r="M43" s="48">
        <f>+IF(AND(K43="",$K$4*B43&gt;100),0.05,0)</f>
        <v>0</v>
      </c>
      <c r="N43" s="49">
        <f>+ROUNDUP($K$4*B43*M43+L43,0)</f>
        <v>5</v>
      </c>
      <c r="O43" s="42">
        <f>+IF(OR(LEFT(I43&amp;"",1)="C",LEFT(I43&amp;"",1)="R"),ROUNDUP($K$4*B43+N43,-1),$K$4*B43+N43)</f>
        <v>50</v>
      </c>
    </row>
    <row r="44" spans="1:15" s="2" customFormat="1" ht="13" x14ac:dyDescent="0.25">
      <c r="A44" s="13"/>
      <c r="B44" s="46">
        <v>2</v>
      </c>
      <c r="C44" s="46" t="s">
        <v>30</v>
      </c>
      <c r="D44" s="46" t="s">
        <v>81</v>
      </c>
      <c r="E44" s="47" t="s">
        <v>90</v>
      </c>
      <c r="F44" s="47" t="s">
        <v>127</v>
      </c>
      <c r="G44" s="47" t="s">
        <v>171</v>
      </c>
      <c r="H44" s="47" t="s">
        <v>190</v>
      </c>
      <c r="I44" s="47" t="s">
        <v>236</v>
      </c>
      <c r="J44" s="47" t="s">
        <v>246</v>
      </c>
      <c r="K44" s="47" t="s">
        <v>267</v>
      </c>
      <c r="L44" s="49">
        <f t="shared" ref="L44" si="68">+IF(OR(K44="BGA",K44="FP",K44="TH"),1,IF($K$4*B44&lt;100,5,0))</f>
        <v>5</v>
      </c>
      <c r="M44" s="48">
        <f t="shared" ref="M44" si="69">+IF(AND(K44="",$K$4*B44&gt;100),0.05,0)</f>
        <v>0</v>
      </c>
      <c r="N44" s="49">
        <f t="shared" ref="N44" si="70">+ROUNDUP($K$4*B44*M44+L44,0)</f>
        <v>5</v>
      </c>
      <c r="O44" s="42">
        <f t="shared" ref="O44" si="71">+IF(OR(LEFT(I44&amp;"",1)="C",LEFT(I44&amp;"",1)="R"),ROUNDUP($K$4*B44+N44,-1),$K$4*B44+N44)</f>
        <v>30</v>
      </c>
    </row>
    <row r="45" spans="1:15" s="2" customFormat="1" ht="40.5" x14ac:dyDescent="0.25">
      <c r="A45" s="13"/>
      <c r="B45" s="46">
        <v>32</v>
      </c>
      <c r="C45" s="46" t="s">
        <v>41</v>
      </c>
      <c r="D45" s="46">
        <v>5017</v>
      </c>
      <c r="E45" s="47" t="s">
        <v>90</v>
      </c>
      <c r="F45" s="47" t="s">
        <v>128</v>
      </c>
      <c r="G45" s="47" t="s">
        <v>172</v>
      </c>
      <c r="H45" s="47" t="s">
        <v>193</v>
      </c>
      <c r="I45" s="47" t="s">
        <v>237</v>
      </c>
      <c r="J45" s="47" t="s">
        <v>259</v>
      </c>
      <c r="K45" s="47" t="s">
        <v>267</v>
      </c>
      <c r="L45" s="49">
        <f>+IF(OR(K45="BGA",K45="FP",K45="TH"),1,IF($K$4*B45&lt;100,5,0))</f>
        <v>0</v>
      </c>
      <c r="M45" s="48">
        <f>+IF(AND(K45="",$K$4*B45&gt;100),0.05,0)</f>
        <v>0.05</v>
      </c>
      <c r="N45" s="49">
        <f>+ROUNDUP($K$4*B45*M45+L45,0)</f>
        <v>16</v>
      </c>
      <c r="O45" s="42">
        <f>+IF(OR(LEFT(I45&amp;"",1)="C",LEFT(I45&amp;"",1)="R"),ROUNDUP($K$4*B45+N45,-1),$K$4*B45+N45)</f>
        <v>336</v>
      </c>
    </row>
    <row r="46" spans="1:15" s="2" customFormat="1" ht="40.5" x14ac:dyDescent="0.25">
      <c r="A46" s="13"/>
      <c r="B46" s="46">
        <v>32</v>
      </c>
      <c r="C46" s="46" t="s">
        <v>42</v>
      </c>
      <c r="D46" s="46" t="s">
        <v>82</v>
      </c>
      <c r="E46" s="47" t="s">
        <v>90</v>
      </c>
      <c r="F46" s="47" t="s">
        <v>129</v>
      </c>
      <c r="G46" s="47" t="s">
        <v>173</v>
      </c>
      <c r="H46" s="47" t="s">
        <v>194</v>
      </c>
      <c r="I46" s="47" t="s">
        <v>238</v>
      </c>
      <c r="J46" s="47" t="s">
        <v>260</v>
      </c>
      <c r="K46" s="47" t="s">
        <v>267</v>
      </c>
      <c r="L46" s="49">
        <f t="shared" ref="L46" si="72">+IF(OR(K46="BGA",K46="FP",K46="TH"),1,IF($K$4*B46&lt;100,5,0))</f>
        <v>0</v>
      </c>
      <c r="M46" s="48">
        <f t="shared" ref="M46" si="73">+IF(AND(K46="",$K$4*B46&gt;100),0.05,0)</f>
        <v>0.05</v>
      </c>
      <c r="N46" s="49">
        <f t="shared" ref="N46" si="74">+ROUNDUP($K$4*B46*M46+L46,0)</f>
        <v>16</v>
      </c>
      <c r="O46" s="42">
        <f t="shared" ref="O46" si="75">+IF(OR(LEFT(I46&amp;"",1)="C",LEFT(I46&amp;"",1)="R"),ROUNDUP($K$4*B46+N46,-1),$K$4*B46+N46)</f>
        <v>336</v>
      </c>
    </row>
    <row r="47" spans="1:15" s="2" customFormat="1" ht="40.5" x14ac:dyDescent="0.25">
      <c r="A47" s="13"/>
      <c r="B47" s="46">
        <v>28</v>
      </c>
      <c r="C47" s="46" t="s">
        <v>42</v>
      </c>
      <c r="D47" s="46" t="s">
        <v>83</v>
      </c>
      <c r="E47" s="47" t="s">
        <v>90</v>
      </c>
      <c r="F47" s="47" t="s">
        <v>130</v>
      </c>
      <c r="G47" s="47" t="s">
        <v>83</v>
      </c>
      <c r="H47" s="47" t="s">
        <v>195</v>
      </c>
      <c r="I47" s="47" t="s">
        <v>239</v>
      </c>
      <c r="J47" s="47" t="s">
        <v>261</v>
      </c>
      <c r="K47" s="47" t="s">
        <v>267</v>
      </c>
      <c r="L47" s="49">
        <f>+IF(OR(K47="BGA",K47="FP",K47="TH"),1,IF($K$4*B47&lt;100,5,0))</f>
        <v>0</v>
      </c>
      <c r="M47" s="48">
        <f>+IF(AND(K47="",$K$4*B47&gt;100),0.05,0)</f>
        <v>0.05</v>
      </c>
      <c r="N47" s="49">
        <f>+ROUNDUP($K$4*B47*M47+L47,0)</f>
        <v>14</v>
      </c>
      <c r="O47" s="42">
        <f>+IF(OR(LEFT(I47&amp;"",1)="C",LEFT(I47&amp;"",1)="R"),ROUNDUP($K$4*B47+N47,-1),$K$4*B47+N47)</f>
        <v>294</v>
      </c>
    </row>
    <row r="48" spans="1:15" s="2" customFormat="1" ht="13" x14ac:dyDescent="0.25">
      <c r="A48" s="13"/>
      <c r="B48" s="46">
        <v>1</v>
      </c>
      <c r="C48" s="46" t="s">
        <v>43</v>
      </c>
      <c r="D48" s="46" t="s">
        <v>84</v>
      </c>
      <c r="E48" s="47" t="s">
        <v>90</v>
      </c>
      <c r="F48" s="47" t="s">
        <v>131</v>
      </c>
      <c r="G48" s="47" t="s">
        <v>174</v>
      </c>
      <c r="H48" s="47" t="s">
        <v>196</v>
      </c>
      <c r="I48" s="47" t="s">
        <v>240</v>
      </c>
      <c r="J48" s="47" t="s">
        <v>262</v>
      </c>
      <c r="K48" s="47" t="s">
        <v>268</v>
      </c>
      <c r="L48" s="49">
        <f t="shared" ref="L48" si="76">+IF(OR(K48="BGA",K48="FP",K48="TH"),1,IF($K$4*B48&lt;100,5,0))</f>
        <v>1</v>
      </c>
      <c r="M48" s="48">
        <f t="shared" ref="M48" si="77">+IF(AND(K48="",$K$4*B48&gt;100),0.05,0)</f>
        <v>0</v>
      </c>
      <c r="N48" s="49">
        <f t="shared" ref="N48" si="78">+ROUNDUP($K$4*B48*M48+L48,0)</f>
        <v>1</v>
      </c>
      <c r="O48" s="42">
        <f t="shared" ref="O48" si="79">+IF(OR(LEFT(I48&amp;"",1)="C",LEFT(I48&amp;"",1)="R"),ROUNDUP($K$4*B48+N48,-1),$K$4*B48+N48)</f>
        <v>11</v>
      </c>
    </row>
    <row r="49" spans="1:15" s="2" customFormat="1" ht="20.5" x14ac:dyDescent="0.25">
      <c r="A49" s="13"/>
      <c r="B49" s="46">
        <v>4</v>
      </c>
      <c r="C49" s="46" t="s">
        <v>44</v>
      </c>
      <c r="D49" s="46" t="s">
        <v>85</v>
      </c>
      <c r="E49" s="47" t="s">
        <v>90</v>
      </c>
      <c r="F49" s="47" t="s">
        <v>132</v>
      </c>
      <c r="G49" s="47" t="s">
        <v>175</v>
      </c>
      <c r="H49" s="47" t="s">
        <v>197</v>
      </c>
      <c r="I49" s="47" t="s">
        <v>241</v>
      </c>
      <c r="J49" s="47" t="s">
        <v>263</v>
      </c>
      <c r="K49" s="47" t="s">
        <v>267</v>
      </c>
      <c r="L49" s="49">
        <f>+IF(OR(K49="BGA",K49="FP",K49="TH"),1,IF($K$4*B49&lt;100,5,0))</f>
        <v>5</v>
      </c>
      <c r="M49" s="48">
        <f>+IF(AND(K49="",$K$4*B49&gt;100),0.05,0)</f>
        <v>0</v>
      </c>
      <c r="N49" s="49">
        <f>+ROUNDUP($K$4*B49*M49+L49,0)</f>
        <v>5</v>
      </c>
      <c r="O49" s="42">
        <f>+IF(OR(LEFT(I49&amp;"",1)="C",LEFT(I49&amp;"",1)="R"),ROUNDUP($K$4*B49+N49,-1),$K$4*B49+N49)</f>
        <v>45</v>
      </c>
    </row>
    <row r="50" spans="1:15" s="2" customFormat="1" ht="20.5" x14ac:dyDescent="0.25">
      <c r="A50" s="13"/>
      <c r="B50" s="46">
        <v>4</v>
      </c>
      <c r="C50" s="46" t="s">
        <v>42</v>
      </c>
      <c r="D50" s="46" t="s">
        <v>86</v>
      </c>
      <c r="E50" s="47" t="s">
        <v>90</v>
      </c>
      <c r="F50" s="47" t="s">
        <v>133</v>
      </c>
      <c r="G50" s="47" t="s">
        <v>86</v>
      </c>
      <c r="H50" s="47" t="s">
        <v>198</v>
      </c>
      <c r="I50" s="47" t="s">
        <v>242</v>
      </c>
      <c r="J50" s="47" t="s">
        <v>260</v>
      </c>
      <c r="K50" s="47" t="s">
        <v>267</v>
      </c>
      <c r="L50" s="49">
        <f t="shared" ref="L50" si="80">+IF(OR(K50="BGA",K50="FP",K50="TH"),1,IF($K$4*B50&lt;100,5,0))</f>
        <v>5</v>
      </c>
      <c r="M50" s="48">
        <f t="shared" ref="M50" si="81">+IF(AND(K50="",$K$4*B50&gt;100),0.05,0)</f>
        <v>0</v>
      </c>
      <c r="N50" s="49">
        <f t="shared" ref="N50" si="82">+ROUNDUP($K$4*B50*M50+L50,0)</f>
        <v>5</v>
      </c>
      <c r="O50" s="42">
        <f t="shared" ref="O50" si="83">+IF(OR(LEFT(I50&amp;"",1)="C",LEFT(I50&amp;"",1)="R"),ROUNDUP($K$4*B50+N50,-1),$K$4*B50+N50)</f>
        <v>45</v>
      </c>
    </row>
    <row r="51" spans="1:15" s="2" customFormat="1" ht="20.5" x14ac:dyDescent="0.25">
      <c r="A51" s="13"/>
      <c r="B51" s="46">
        <v>4</v>
      </c>
      <c r="C51" s="46" t="s">
        <v>45</v>
      </c>
      <c r="D51" s="46" t="s">
        <v>87</v>
      </c>
      <c r="E51" s="47" t="s">
        <v>90</v>
      </c>
      <c r="F51" s="47" t="s">
        <v>134</v>
      </c>
      <c r="G51" s="47" t="s">
        <v>176</v>
      </c>
      <c r="H51" s="47" t="s">
        <v>199</v>
      </c>
      <c r="I51" s="47" t="s">
        <v>243</v>
      </c>
      <c r="J51" s="47" t="s">
        <v>264</v>
      </c>
      <c r="K51" s="47" t="s">
        <v>267</v>
      </c>
      <c r="L51" s="49">
        <f>+IF(OR(K51="BGA",K51="FP",K51="TH"),1,IF($K$4*B51&lt;100,5,0))</f>
        <v>5</v>
      </c>
      <c r="M51" s="48">
        <f>+IF(AND(K51="",$K$4*B51&gt;100),0.05,0)</f>
        <v>0</v>
      </c>
      <c r="N51" s="49">
        <f>+ROUNDUP($K$4*B51*M51+L51,0)</f>
        <v>5</v>
      </c>
      <c r="O51" s="42">
        <f>+IF(OR(LEFT(I51&amp;"",1)="C",LEFT(I51&amp;"",1)="R"),ROUNDUP($K$4*B51+N51,-1),$K$4*B51+N51)</f>
        <v>45</v>
      </c>
    </row>
    <row r="52" spans="1:15" ht="20.5" x14ac:dyDescent="0.25">
      <c r="A52" s="13"/>
      <c r="B52" s="46">
        <v>8</v>
      </c>
      <c r="C52" s="46" t="s">
        <v>46</v>
      </c>
      <c r="D52" s="46" t="s">
        <v>88</v>
      </c>
      <c r="E52" s="47" t="s">
        <v>90</v>
      </c>
      <c r="F52" s="47" t="s">
        <v>135</v>
      </c>
      <c r="G52" s="47" t="s">
        <v>177</v>
      </c>
      <c r="H52" s="47" t="s">
        <v>200</v>
      </c>
      <c r="I52" s="47" t="s">
        <v>244</v>
      </c>
      <c r="J52" s="47" t="s">
        <v>265</v>
      </c>
      <c r="K52" s="47" t="s">
        <v>267</v>
      </c>
      <c r="L52" s="49">
        <f t="shared" ref="L52" si="84">+IF(OR(K52="BGA",K52="FP",K52="TH"),1,IF($K$4*B52&lt;100,5,0))</f>
        <v>5</v>
      </c>
      <c r="M52" s="48">
        <f t="shared" ref="M52" si="85">+IF(AND(K52="",$K$4*B52&gt;100),0.05,0)</f>
        <v>0</v>
      </c>
      <c r="N52" s="49">
        <f t="shared" ref="N52" si="86">+ROUNDUP($K$4*B52*M52+L52,0)</f>
        <v>5</v>
      </c>
      <c r="O52" s="42">
        <f t="shared" ref="O52" si="87">+IF(OR(LEFT(I52&amp;"",1)="C",LEFT(I52&amp;"",1)="R"),ROUNDUP($K$4*B52+N52,-1),$K$4*B52+N52)</f>
        <v>85</v>
      </c>
    </row>
    <row r="53" spans="1:15" x14ac:dyDescent="0.25">
      <c r="A53" s="14"/>
      <c r="B53" s="43">
        <f>SUM(B10:B52)</f>
        <v>544</v>
      </c>
      <c r="C53" s="50"/>
      <c r="D53" s="50"/>
      <c r="E53" s="44" t="s">
        <v>9</v>
      </c>
      <c r="F53" s="44"/>
      <c r="G53" s="44"/>
      <c r="H53" s="44"/>
      <c r="I53" s="45"/>
      <c r="J53" s="45"/>
      <c r="K53" s="44"/>
      <c r="L53" s="45"/>
      <c r="M53" s="45"/>
      <c r="N53" s="45"/>
      <c r="O53" s="45"/>
    </row>
    <row r="54" spans="1:15" x14ac:dyDescent="0.25">
      <c r="B54" s="1"/>
      <c r="C54" s="1"/>
      <c r="D54" s="1"/>
      <c r="E54" s="1"/>
    </row>
    <row r="55" spans="1:15" x14ac:dyDescent="0.25">
      <c r="B55" s="1"/>
      <c r="C55" s="1"/>
      <c r="D55" s="1"/>
      <c r="E55" s="1"/>
    </row>
    <row r="56" spans="1:15" x14ac:dyDescent="0.25">
      <c r="B56" s="1"/>
      <c r="C56" s="1"/>
      <c r="D56" s="1"/>
      <c r="E56" s="1"/>
    </row>
    <row r="57" spans="1:15" ht="17.5" x14ac:dyDescent="0.25">
      <c r="B57" s="1"/>
      <c r="C57" s="1"/>
      <c r="D57" s="1"/>
      <c r="E57" s="61" t="s">
        <v>8</v>
      </c>
      <c r="F57" s="62"/>
      <c r="G57" s="63"/>
      <c r="H57" s="20"/>
      <c r="I57" s="21"/>
    </row>
    <row r="58" spans="1:15" x14ac:dyDescent="0.25">
      <c r="E58" s="33" t="s">
        <v>3</v>
      </c>
      <c r="F58" s="34"/>
      <c r="G58" s="35">
        <f>COUNT(B10:B52)</f>
        <v>43</v>
      </c>
    </row>
    <row r="59" spans="1:15" x14ac:dyDescent="0.25">
      <c r="E59" s="16" t="s">
        <v>4</v>
      </c>
      <c r="F59" s="30"/>
      <c r="G59" s="28">
        <f>SUMIF($K$10:$K$52, "", $B$10:$B$52)</f>
        <v>516</v>
      </c>
    </row>
    <row r="60" spans="1:15" x14ac:dyDescent="0.25">
      <c r="E60" s="33" t="s">
        <v>5</v>
      </c>
      <c r="F60" s="34"/>
      <c r="G60" s="36">
        <f>SUMIF($K$10:$K$52, "TH", $B$10:$B$52)</f>
        <v>28</v>
      </c>
    </row>
    <row r="61" spans="1:15" x14ac:dyDescent="0.25">
      <c r="E61" s="16" t="s">
        <v>6</v>
      </c>
      <c r="F61" s="30"/>
      <c r="G61" s="28">
        <f>SUMIF($K$10:$K$52, "FP", $B$10:$B$52)</f>
        <v>0</v>
      </c>
    </row>
    <row r="62" spans="1:15" x14ac:dyDescent="0.25">
      <c r="E62" s="33" t="s">
        <v>7</v>
      </c>
      <c r="F62" s="34"/>
      <c r="G62" s="36">
        <f>SUMIF($K$10:$K$52, "BGA", $B$10:$B$52)</f>
        <v>0</v>
      </c>
    </row>
    <row r="63" spans="1:15" x14ac:dyDescent="0.25">
      <c r="E63" s="27" t="s">
        <v>16</v>
      </c>
      <c r="F63" s="31"/>
      <c r="G63" s="29">
        <f>SUMIF($K$10:$K$52, "M", $B$10:$B$52)</f>
        <v>0</v>
      </c>
    </row>
  </sheetData>
  <mergeCells count="3">
    <mergeCell ref="I4:J4"/>
    <mergeCell ref="G8:H8"/>
    <mergeCell ref="E57:G57"/>
  </mergeCells>
  <phoneticPr fontId="0" type="noConversion"/>
  <conditionalFormatting sqref="B10:N5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2025-06-17T18:42:23Z</dcterms:modified>
</cp:coreProperties>
</file>