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5" yWindow="375" windowWidth="12345" windowHeight="6885" tabRatio="597" activeTab="0"/>
  </bookViews>
  <sheets>
    <sheet name="Summary" sheetId="1" r:id="rId1"/>
    <sheet name="notes" sheetId="2" r:id="rId2"/>
    <sheet name="LLO VTX" sheetId="3" r:id="rId3"/>
    <sheet name="LLO END" sheetId="4" r:id="rId4"/>
    <sheet name="LHO VTX" sheetId="5" r:id="rId5"/>
    <sheet name="LHO DIAG" sheetId="6" r:id="rId6"/>
    <sheet name="LHO END" sheetId="7" r:id="rId7"/>
    <sheet name="SEI" sheetId="8" r:id="rId8"/>
    <sheet name="SUS" sheetId="9" r:id="rId9"/>
    <sheet name="AOS" sheetId="10" r:id="rId10"/>
    <sheet name="WIRE" sheetId="11" r:id="rId11"/>
  </sheets>
  <definedNames>
    <definedName name="_xlnm.Print_Area" localSheetId="3">'LLO END'!$A$1:$N$46</definedName>
  </definedNames>
  <calcPr fullCalcOnLoad="1"/>
</workbook>
</file>

<file path=xl/comments3.xml><?xml version="1.0" encoding="utf-8"?>
<comments xmlns="http://schemas.openxmlformats.org/spreadsheetml/2006/main">
  <authors>
    <author>Dennis Coyne</author>
  </authors>
  <commentList>
    <comment ref="J5" authorId="0">
      <text>
        <r>
          <rPr>
            <b/>
            <sz val="9"/>
            <rFont val="Tahoma"/>
            <family val="2"/>
          </rPr>
          <t>Dennis Coyne:</t>
        </r>
        <r>
          <rPr>
            <sz val="9"/>
            <rFont val="Tahoma"/>
            <family val="2"/>
          </rPr>
          <t xml:space="preserve">
2 OptLev, 1 PSL injection, 4 TCS (2 CO2, 2 Camera)</t>
        </r>
      </text>
    </comment>
  </commentList>
</comments>
</file>

<file path=xl/comments4.xml><?xml version="1.0" encoding="utf-8"?>
<comments xmlns="http://schemas.openxmlformats.org/spreadsheetml/2006/main">
  <authors>
    <author>Dennis Coyne</author>
  </authors>
  <commentList>
    <comment ref="J5" authorId="0">
      <text>
        <r>
          <rPr>
            <b/>
            <sz val="9"/>
            <rFont val="Tahoma"/>
            <family val="2"/>
          </rPr>
          <t>Dennis Coyne:</t>
        </r>
        <r>
          <rPr>
            <sz val="9"/>
            <rFont val="Tahoma"/>
            <family val="2"/>
          </rPr>
          <t xml:space="preserve">
2 Pcal, 1 OptLev</t>
        </r>
      </text>
    </comment>
  </commentList>
</comments>
</file>

<file path=xl/comments5.xml><?xml version="1.0" encoding="utf-8"?>
<comments xmlns="http://schemas.openxmlformats.org/spreadsheetml/2006/main">
  <authors>
    <author>Dennis Coyne</author>
  </authors>
  <commentList>
    <comment ref="J5" authorId="0">
      <text>
        <r>
          <rPr>
            <b/>
            <sz val="9"/>
            <rFont val="Tahoma"/>
            <family val="2"/>
          </rPr>
          <t>Dennis Coyne:</t>
        </r>
        <r>
          <rPr>
            <sz val="9"/>
            <rFont val="Tahoma"/>
            <family val="2"/>
          </rPr>
          <t xml:space="preserve">
2 OptLev, 1 PSL injection, 4 TCS (2 CO2, 2 Camera)</t>
        </r>
      </text>
    </comment>
  </commentList>
</comments>
</file>

<file path=xl/comments6.xml><?xml version="1.0" encoding="utf-8"?>
<comments xmlns="http://schemas.openxmlformats.org/spreadsheetml/2006/main">
  <authors>
    <author>Dennis Coyne</author>
  </authors>
  <commentList>
    <comment ref="J5" authorId="0">
      <text>
        <r>
          <rPr>
            <b/>
            <sz val="9"/>
            <rFont val="Tahoma"/>
            <family val="2"/>
          </rPr>
          <t>Dennis Coyne:</t>
        </r>
        <r>
          <rPr>
            <sz val="9"/>
            <rFont val="Tahoma"/>
            <family val="2"/>
          </rPr>
          <t xml:space="preserve">
2 OptLev, 1 PSL injection, 4 TCS (2 CO2, 2 Camera)</t>
        </r>
      </text>
    </comment>
  </commentList>
</comments>
</file>

<file path=xl/comments7.xml><?xml version="1.0" encoding="utf-8"?>
<comments xmlns="http://schemas.openxmlformats.org/spreadsheetml/2006/main">
  <authors>
    <author>Dennis Coyne</author>
  </authors>
  <commentList>
    <comment ref="J5" authorId="0">
      <text>
        <r>
          <rPr>
            <b/>
            <sz val="9"/>
            <rFont val="Tahoma"/>
            <family val="2"/>
          </rPr>
          <t>Dennis Coyne:</t>
        </r>
        <r>
          <rPr>
            <sz val="9"/>
            <rFont val="Tahoma"/>
            <family val="2"/>
          </rPr>
          <t xml:space="preserve">
2 Pcal, 1 OptLev
</t>
        </r>
      </text>
    </comment>
  </commentList>
</comments>
</file>

<file path=xl/sharedStrings.xml><?xml version="1.0" encoding="utf-8"?>
<sst xmlns="http://schemas.openxmlformats.org/spreadsheetml/2006/main" count="516" uniqueCount="155">
  <si>
    <t>SS</t>
  </si>
  <si>
    <t>PEEK</t>
  </si>
  <si>
    <t>Kapton</t>
  </si>
  <si>
    <t>TFE</t>
  </si>
  <si>
    <t>Item name</t>
  </si>
  <si>
    <t>BSC ISI</t>
  </si>
  <si>
    <t>HAM ISI</t>
  </si>
  <si>
    <t>actuator lg</t>
  </si>
  <si>
    <t>support tube/bellows</t>
  </si>
  <si>
    <t>actuator sm</t>
  </si>
  <si>
    <t>Aluminum</t>
  </si>
  <si>
    <t>cm^2/unit</t>
  </si>
  <si>
    <t>VE</t>
  </si>
  <si>
    <t>LLO VERTEX</t>
  </si>
  <si>
    <t>HAM SEI</t>
  </si>
  <si>
    <t>BSC SEI</t>
  </si>
  <si>
    <t>HAM SUS</t>
  </si>
  <si>
    <t>AOS</t>
  </si>
  <si>
    <t>quan/sta.</t>
  </si>
  <si>
    <t>WIRE</t>
  </si>
  <si>
    <t>Viton</t>
  </si>
  <si>
    <t>total/unit</t>
  </si>
  <si>
    <t>HLTS</t>
  </si>
  <si>
    <t>HSTS</t>
  </si>
  <si>
    <t>MSOS</t>
  </si>
  <si>
    <t>TT</t>
  </si>
  <si>
    <t>OMC</t>
  </si>
  <si>
    <t>QUAD</t>
  </si>
  <si>
    <t>T/T</t>
  </si>
  <si>
    <t>Assembly name</t>
  </si>
  <si>
    <t>total wire ordered/number of LIGO chambers (approximation)</t>
  </si>
  <si>
    <t>ALL WIRE</t>
  </si>
  <si>
    <t>/no. chambers</t>
  </si>
  <si>
    <t>area/chamber</t>
  </si>
  <si>
    <t>SS or Cu</t>
  </si>
  <si>
    <t>assign copper to SS column</t>
  </si>
  <si>
    <t>BSC SUS (quad)</t>
  </si>
  <si>
    <t>Water (100h)</t>
  </si>
  <si>
    <t>Hydrogen</t>
  </si>
  <si>
    <t>Air</t>
  </si>
  <si>
    <t>CO</t>
  </si>
  <si>
    <t>CO2</t>
  </si>
  <si>
    <t>Water (1000h)</t>
  </si>
  <si>
    <t>SS/Cu</t>
  </si>
  <si>
    <t>Flux (T*l/s)</t>
  </si>
  <si>
    <t>TOTAL</t>
  </si>
  <si>
    <t>partial P (T)</t>
  </si>
  <si>
    <t>total pressure</t>
  </si>
  <si>
    <t>speed (l/s)</t>
  </si>
  <si>
    <t>100 h</t>
  </si>
  <si>
    <t xml:space="preserve">1000h </t>
  </si>
  <si>
    <t>BSC SUS (quad/BS)</t>
  </si>
  <si>
    <t>BSC SUS (quad/BS/FM)</t>
  </si>
  <si>
    <t>LLO END</t>
  </si>
  <si>
    <t>LHO END</t>
  </si>
  <si>
    <t>LHO DIAGONAL</t>
  </si>
  <si>
    <t>LHO VERTEX</t>
  </si>
  <si>
    <t xml:space="preserve"> (T*l/s/cm^2)</t>
  </si>
  <si>
    <t>Outgas flux assumed</t>
  </si>
  <si>
    <t>LLO vertex</t>
  </si>
  <si>
    <t>LLO end</t>
  </si>
  <si>
    <t>LHO vertex</t>
  </si>
  <si>
    <t>LHO diagonal</t>
  </si>
  <si>
    <t>LHO end</t>
  </si>
  <si>
    <t>Water</t>
  </si>
  <si>
    <t>Water (1000 h)</t>
  </si>
  <si>
    <t>80K cryo (long or short)</t>
  </si>
  <si>
    <t>(l/s)</t>
  </si>
  <si>
    <t>2500 l/s ion pump</t>
  </si>
  <si>
    <t>N2, CO etc.</t>
  </si>
  <si>
    <t>Total (1000h)</t>
  </si>
  <si>
    <t xml:space="preserve">Nominal pump speeds </t>
  </si>
  <si>
    <t>(torr)</t>
  </si>
  <si>
    <t>Species</t>
  </si>
  <si>
    <t>Dominant pump</t>
  </si>
  <si>
    <t>Station/Volume</t>
  </si>
  <si>
    <t>Equilibrium pressure</t>
  </si>
  <si>
    <t>Beamtube</t>
  </si>
  <si>
    <t>drawing</t>
  </si>
  <si>
    <t>D0901346</t>
  </si>
  <si>
    <t>EQ Stops</t>
  </si>
  <si>
    <t>D080245</t>
  </si>
  <si>
    <t>1) Fluoroelastomers Viton (Dupont) and Flourel (3M) are reported here as "Viton"</t>
  </si>
  <si>
    <t>BOM</t>
  </si>
  <si>
    <t>E0900167</t>
  </si>
  <si>
    <t>Qty</t>
  </si>
  <si>
    <t>D060546</t>
  </si>
  <si>
    <t>PTFE</t>
  </si>
  <si>
    <t>2) PTFE (polytetrafluoroethylene) includes PFA (perfluoroalkoxy copolymer; Dupont)</t>
  </si>
  <si>
    <t>D060445</t>
  </si>
  <si>
    <t>D060449</t>
  </si>
  <si>
    <t>D060460</t>
  </si>
  <si>
    <t>D060461</t>
  </si>
  <si>
    <t>D060479</t>
  </si>
  <si>
    <t>D090433</t>
  </si>
  <si>
    <t>D090434</t>
  </si>
  <si>
    <t>not left in UHV</t>
  </si>
  <si>
    <t>might be left in UHV</t>
  </si>
  <si>
    <t>D070447</t>
  </si>
  <si>
    <t>D020700</t>
  </si>
  <si>
    <t>E0900061</t>
  </si>
  <si>
    <t>D0900295</t>
  </si>
  <si>
    <t>D0900702</t>
  </si>
  <si>
    <t>damping struts</t>
  </si>
  <si>
    <t>D0902849</t>
  </si>
  <si>
    <t>Notes</t>
  </si>
  <si>
    <t>~4 x as much if integral with legs instead of struts?</t>
  </si>
  <si>
    <t>v2  D. Coyne 2/5/2010 added damping struts, improved Viton (Flourel) estimates for SUS added PTFE for Quad SUS</t>
  </si>
  <si>
    <t>v1  M. Zucker 11/5/2009 add VE &amp; wire</t>
  </si>
  <si>
    <t xml:space="preserve"> -  M. Zucker 11/3/2009 </t>
  </si>
  <si>
    <t>aLIGO Outgassing Workbook</t>
  </si>
  <si>
    <t>3) Both the Vertex and the Diagonal pump volumes include the Beam Manifold volumes which include the cryopumps. As a consequence the AOS/SLC Manifold/Cryopump Baffles are double counted.</t>
  </si>
  <si>
    <t>SLC Manifold/Cryopump Baffle</t>
  </si>
  <si>
    <t>Porcelain-Steel</t>
  </si>
  <si>
    <t>4) Nickel-plated maraging steel has not been reported separately from stainless steel.</t>
  </si>
  <si>
    <t>D0902617</t>
  </si>
  <si>
    <t>SLC Arm Cavity Baffle (ACB)</t>
  </si>
  <si>
    <t>SLC Manifold/Cryopump Baffle (MCB)</t>
  </si>
  <si>
    <t>SLC Errant Beam Baffle (EBB)</t>
  </si>
  <si>
    <t>SLC Beam Scapper Baffle (BSB)</t>
  </si>
  <si>
    <t>SLC Elliptical Baffle (ELB)</t>
  </si>
  <si>
    <t>SLC Output Faraday Isolator (OFI)</t>
  </si>
  <si>
    <t>This assembly has two apertures for LHO. A single aperture unit would b used at LLO</t>
  </si>
  <si>
    <t>D0901376</t>
  </si>
  <si>
    <t>D0900136</t>
  </si>
  <si>
    <t>SLC FM Baffle (FMB)</t>
  </si>
  <si>
    <t>SLC TM Wide Angle Scatter Baffles (WASB)</t>
  </si>
  <si>
    <t>SURFACE AREA (cm^2)</t>
  </si>
  <si>
    <t>Al</t>
  </si>
  <si>
    <t>FLUX (Torr-Liter/Sec)</t>
  </si>
  <si>
    <t>Outgassing Components</t>
  </si>
  <si>
    <t>H2</t>
  </si>
  <si>
    <t>N2</t>
  </si>
  <si>
    <t>CH4</t>
  </si>
  <si>
    <t>others</t>
  </si>
  <si>
    <t>Liters/sec</t>
  </si>
  <si>
    <t>AMU</t>
  </si>
  <si>
    <t>other species</t>
  </si>
  <si>
    <t>(from PSI V049-1-078, pg. 19)</t>
  </si>
  <si>
    <t>Ion Pump Speeds:</t>
  </si>
  <si>
    <t>Air (or N2)</t>
  </si>
  <si>
    <t>hydrocarbons</t>
  </si>
  <si>
    <t>v3 D. Coyne 6/17/2010 added SLC baffles &amp; beam dumps (porcelainized mild steel). Added Alu &amp; SS estimates for HSTS &amp; OMC SUSs. Added porcelainized steel measured outgassing rates.</t>
  </si>
  <si>
    <t>O-ring Viewports</t>
  </si>
  <si>
    <t>O-ring Viewport</t>
  </si>
  <si>
    <t xml:space="preserve"> (T*l/s)</t>
  </si>
  <si>
    <t>v4 D. Coyne 7/7/2010 added diffusion rate through o-ring sealed viewports</t>
  </si>
  <si>
    <t>Source:</t>
  </si>
  <si>
    <t>PSI V049-1-097, Rev.0, section 3.3.5</t>
  </si>
  <si>
    <t>E1000221-v1</t>
  </si>
  <si>
    <t>MasterBond
EP30-2</t>
  </si>
  <si>
    <t>E1000386</t>
  </si>
  <si>
    <t>AREA TOTALS (cm^2)</t>
  </si>
  <si>
    <t>5) PSI design calculations state that the pump rate (for gas species other than N2, CO, CO2, CH4, H2 and H2O) is 1700 liters/sec for the end stations, 8500 liters/sec for the LHO corner station and 6800 liters/sec for the LLO corner station. Reference: LIGO Vacuum Equipment Final Design Report, Volume II: Design, Attachment 4, Station Pumpdown and Ultimate
Pressures, LIGO-C960964-00-V, PSI #V049-1-078, Rev.0</t>
  </si>
  <si>
    <t>v5 D.Coyne 9/25/2010 added Suspension MasterBond EP30-2 adhesive bonds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</si>
</sst>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E+00"/>
    <numFmt numFmtId="168" formatCode="0E+00"/>
    <numFmt numFmtId="169" formatCode="0.000E+00;\ꂶ"/>
    <numFmt numFmtId="170" formatCode="0.00E+00;\ꂶ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000000000_);_(* \(#,##0.0000000000\);_(* &quot;-&quot;??_);_(@_)"/>
    <numFmt numFmtId="179" formatCode="_(* #,##0.00000000000_);_(* \(#,##0.00000000000\);_(* &quot;-&quot;??_);_(@_)"/>
    <numFmt numFmtId="180" formatCode="_(* #,##0.0_);_(* \(#,##0.0\);_(* &quot;-&quot;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6" fontId="1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166" fontId="1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33" borderId="12" xfId="0" applyFill="1" applyBorder="1" applyAlignment="1">
      <alignment horizontal="left" indent="1"/>
    </xf>
    <xf numFmtId="166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166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>
      <alignment horizontal="center"/>
    </xf>
    <xf numFmtId="166" fontId="1" fillId="0" borderId="13" xfId="4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 applyAlignment="1">
      <alignment horizontal="left" indent="1"/>
    </xf>
    <xf numFmtId="167" fontId="0" fillId="0" borderId="0" xfId="0" applyNumberFormat="1" applyAlignment="1">
      <alignment horizontal="right"/>
    </xf>
    <xf numFmtId="166" fontId="0" fillId="33" borderId="0" xfId="42" applyNumberFormat="1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33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6" fontId="0" fillId="0" borderId="0" xfId="42" applyNumberFormat="1" applyAlignment="1">
      <alignment/>
    </xf>
    <xf numFmtId="166" fontId="0" fillId="33" borderId="0" xfId="42" applyNumberFormat="1" applyFill="1" applyAlignment="1">
      <alignment/>
    </xf>
    <xf numFmtId="166" fontId="0" fillId="0" borderId="10" xfId="42" applyNumberFormat="1" applyBorder="1" applyAlignment="1">
      <alignment/>
    </xf>
    <xf numFmtId="170" fontId="0" fillId="33" borderId="0" xfId="0" applyNumberFormat="1" applyFill="1" applyAlignment="1">
      <alignment/>
    </xf>
    <xf numFmtId="0" fontId="1" fillId="0" borderId="0" xfId="0" applyFont="1" applyAlignment="1">
      <alignment horizontal="lef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0" xfId="53" applyBorder="1" applyAlignment="1" applyProtection="1">
      <alignment/>
      <protection/>
    </xf>
    <xf numFmtId="166" fontId="0" fillId="0" borderId="0" xfId="42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0" fillId="33" borderId="0" xfId="0" applyFill="1" applyBorder="1" applyAlignment="1">
      <alignment horizontal="left" indent="1"/>
    </xf>
    <xf numFmtId="0" fontId="4" fillId="0" borderId="10" xfId="53" applyBorder="1" applyAlignment="1" applyProtection="1">
      <alignment horizontal="left"/>
      <protection/>
    </xf>
    <xf numFmtId="0" fontId="0" fillId="0" borderId="15" xfId="0" applyBorder="1" applyAlignment="1">
      <alignment horizontal="left" indent="1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16" xfId="42" applyNumberFormat="1" applyFont="1" applyBorder="1" applyAlignment="1">
      <alignment/>
    </xf>
    <xf numFmtId="0" fontId="4" fillId="0" borderId="16" xfId="53" applyBorder="1" applyAlignment="1" applyProtection="1">
      <alignment horizontal="left"/>
      <protection/>
    </xf>
    <xf numFmtId="0" fontId="0" fillId="0" borderId="16" xfId="0" applyBorder="1" applyAlignment="1">
      <alignment horizontal="left" indent="1"/>
    </xf>
    <xf numFmtId="166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6" fontId="1" fillId="0" borderId="16" xfId="42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0" applyNumberFormat="1" applyBorder="1" applyAlignment="1">
      <alignment horizontal="right"/>
    </xf>
    <xf numFmtId="11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 wrapText="1"/>
    </xf>
    <xf numFmtId="167" fontId="0" fillId="0" borderId="16" xfId="0" applyNumberFormat="1" applyBorder="1" applyAlignment="1">
      <alignment horizontal="right" wrapText="1"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67" fontId="0" fillId="0" borderId="16" xfId="42" applyNumberFormat="1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4" fillId="0" borderId="16" xfId="53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12769" TargetMode="External" /><Relationship Id="rId2" Type="http://schemas.openxmlformats.org/officeDocument/2006/relationships/hyperlink" Target="https://dcc.ligo.org/cgi-bin/private/DocDB/ShowDocument?docid=15133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1949" TargetMode="External" /><Relationship Id="rId2" Type="http://schemas.openxmlformats.org/officeDocument/2006/relationships/hyperlink" Target="https://dcc.ligo.org/cgi-bin/private/DocDB/ShowDocument?docid=8205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2910" TargetMode="External" /><Relationship Id="rId2" Type="http://schemas.openxmlformats.org/officeDocument/2006/relationships/hyperlink" Target="https://dcc.ligo.org/cgi-bin/private/DocDB/ShowDocument?docid=3413" TargetMode="External" /><Relationship Id="rId3" Type="http://schemas.openxmlformats.org/officeDocument/2006/relationships/hyperlink" Target="https://dcc.ligo.org/cgi-bin/private/DocDB/ShowDocument?docid=4599" TargetMode="External" /><Relationship Id="rId4" Type="http://schemas.openxmlformats.org/officeDocument/2006/relationships/hyperlink" Target="https://dcc.ligo.org/cgi-bin/private/DocDB/ShowDocument?docid=2323" TargetMode="External" /><Relationship Id="rId5" Type="http://schemas.openxmlformats.org/officeDocument/2006/relationships/hyperlink" Target="https://dcc.ligo.org/cgi-bin/private/DocDB/ShowDocument?docid=4430" TargetMode="External" /><Relationship Id="rId6" Type="http://schemas.openxmlformats.org/officeDocument/2006/relationships/hyperlink" Target="https://dcc.ligo.org/cgi-bin/private/DocDB/ShowDocument?docid=4441" TargetMode="External" /><Relationship Id="rId7" Type="http://schemas.openxmlformats.org/officeDocument/2006/relationships/hyperlink" Target="https://dcc.ligo.org/cgi-bin/private/DocDB/ShowDocument?docid=4448" TargetMode="External" /><Relationship Id="rId8" Type="http://schemas.openxmlformats.org/officeDocument/2006/relationships/hyperlink" Target="https://dcc.ligo.org/cgi-bin/private/DocDB/ShowDocument?docid=4449" TargetMode="External" /><Relationship Id="rId9" Type="http://schemas.openxmlformats.org/officeDocument/2006/relationships/hyperlink" Target="https://dcc.ligo.org/cgi-bin/private/DocDB/ShowDocument?docid=4455" TargetMode="External" /><Relationship Id="rId10" Type="http://schemas.openxmlformats.org/officeDocument/2006/relationships/hyperlink" Target="https://dcc.ligo.org/cgi-bin/private/DocDB/ShowDocument?docid=4600" TargetMode="External" /><Relationship Id="rId11" Type="http://schemas.openxmlformats.org/officeDocument/2006/relationships/hyperlink" Target="https://dcc.ligo.org/cgi-bin/private/DocDB/ShowDocument?docid=4602" TargetMode="External" /><Relationship Id="rId12" Type="http://schemas.openxmlformats.org/officeDocument/2006/relationships/hyperlink" Target="https://dcc.ligo.org/cgi-bin/private/DocDB/ShowDocument?docid=2087" TargetMode="External" /><Relationship Id="rId13" Type="http://schemas.openxmlformats.org/officeDocument/2006/relationships/hyperlink" Target="https://dcc.ligo.org/cgi-bin/private/DocDB/ShowDocument?docid=6873" TargetMode="External" /><Relationship Id="rId14" Type="http://schemas.openxmlformats.org/officeDocument/2006/relationships/hyperlink" Target="https://dcc.ligo.org/cgi-bin/private/DocDB/ShowDocument?docid=957" TargetMode="External" /><Relationship Id="rId15" Type="http://schemas.openxmlformats.org/officeDocument/2006/relationships/hyperlink" Target="https://dcc.ligo.org/cgi-bin/private/DocDB/ShowDocument?docid=1949" TargetMode="External" /><Relationship Id="rId16" Type="http://schemas.openxmlformats.org/officeDocument/2006/relationships/hyperlink" Target="https://dcc.ligo.org/cgi-bin/private/DocDB/ShowDocument?docid=851" TargetMode="External" /><Relationship Id="rId17" Type="http://schemas.openxmlformats.org/officeDocument/2006/relationships/hyperlink" Target="https://dcc.ligo.org/cgi-bin/private/DocDB/ShowDocument?docid=8205" TargetMode="External" /><Relationship Id="rId18" Type="http://schemas.openxmlformats.org/officeDocument/2006/relationships/hyperlink" Target="https://dcc.ligo.org/cgi-bin/private/DocDB/ShowDocument?docid=8205" TargetMode="External" /><Relationship Id="rId19" Type="http://schemas.openxmlformats.org/officeDocument/2006/relationships/hyperlink" Target="https://dcc.ligo.org/cgi-bin/private/DocDB/ShowDocument?docid=8205" TargetMode="External" /><Relationship Id="rId20" Type="http://schemas.openxmlformats.org/officeDocument/2006/relationships/hyperlink" Target="https://dcc.ligo.org/cgi-bin/private/DocDB/ShowDocument?docid=8205" TargetMode="External" /><Relationship Id="rId2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7" sqref="A7"/>
    </sheetView>
  </sheetViews>
  <sheetFormatPr defaultColWidth="11.00390625" defaultRowHeight="12.75"/>
  <cols>
    <col min="1" max="1" width="23.75390625" style="0" customWidth="1"/>
    <col min="2" max="2" width="21.75390625" style="0" customWidth="1"/>
    <col min="3" max="8" width="14.75390625" style="0" customWidth="1"/>
    <col min="9" max="10" width="15.75390625" style="0" customWidth="1"/>
    <col min="11" max="11" width="14.875" style="0" customWidth="1"/>
    <col min="12" max="12" width="11.00390625" style="0" customWidth="1"/>
    <col min="13" max="13" width="15.25390625" style="0" customWidth="1"/>
  </cols>
  <sheetData>
    <row r="1" ht="19.5">
      <c r="A1" s="58" t="s">
        <v>110</v>
      </c>
    </row>
    <row r="2" ht="12.75">
      <c r="A2" t="s">
        <v>109</v>
      </c>
    </row>
    <row r="3" ht="12.75">
      <c r="A3" t="s">
        <v>108</v>
      </c>
    </row>
    <row r="4" ht="12.75">
      <c r="A4" t="s">
        <v>107</v>
      </c>
    </row>
    <row r="5" ht="12.75">
      <c r="A5" t="s">
        <v>142</v>
      </c>
    </row>
    <row r="6" ht="12.75">
      <c r="A6" t="s">
        <v>146</v>
      </c>
    </row>
    <row r="7" ht="12.75">
      <c r="A7" s="91" t="s">
        <v>154</v>
      </c>
    </row>
    <row r="8" ht="12.75">
      <c r="A8" s="91"/>
    </row>
    <row r="9" spans="3:11" s="2" customFormat="1" ht="12.75">
      <c r="C9" s="65" t="s">
        <v>57</v>
      </c>
      <c r="D9" s="65" t="s">
        <v>57</v>
      </c>
      <c r="E9" s="65" t="s">
        <v>57</v>
      </c>
      <c r="F9" s="65" t="s">
        <v>57</v>
      </c>
      <c r="G9" s="65" t="s">
        <v>57</v>
      </c>
      <c r="H9" s="65" t="s">
        <v>57</v>
      </c>
      <c r="I9" s="65" t="s">
        <v>57</v>
      </c>
      <c r="J9" s="65" t="s">
        <v>145</v>
      </c>
      <c r="K9" s="65" t="s">
        <v>57</v>
      </c>
    </row>
    <row r="10" spans="1:11" ht="25.5">
      <c r="A10" s="2" t="s">
        <v>58</v>
      </c>
      <c r="B10" s="73" t="s">
        <v>73</v>
      </c>
      <c r="C10" s="74" t="s">
        <v>43</v>
      </c>
      <c r="D10" s="74" t="s">
        <v>10</v>
      </c>
      <c r="E10" s="74" t="s">
        <v>20</v>
      </c>
      <c r="F10" s="74" t="s">
        <v>1</v>
      </c>
      <c r="G10" s="74" t="s">
        <v>2</v>
      </c>
      <c r="H10" s="74" t="s">
        <v>87</v>
      </c>
      <c r="I10" s="74" t="s">
        <v>113</v>
      </c>
      <c r="J10" s="74" t="s">
        <v>144</v>
      </c>
      <c r="K10" s="87" t="s">
        <v>150</v>
      </c>
    </row>
    <row r="11" spans="2:11" s="27" customFormat="1" ht="12.75">
      <c r="B11" s="75" t="s">
        <v>38</v>
      </c>
      <c r="C11" s="76">
        <v>1E-11</v>
      </c>
      <c r="D11" s="76">
        <v>1E-11</v>
      </c>
      <c r="E11" s="76">
        <v>1E-10</v>
      </c>
      <c r="F11" s="76">
        <v>1E-10</v>
      </c>
      <c r="G11" s="76">
        <v>1E-10</v>
      </c>
      <c r="H11" s="77">
        <v>1E-10</v>
      </c>
      <c r="I11" s="76">
        <v>6.9E-13</v>
      </c>
      <c r="J11" s="76"/>
      <c r="K11" s="76">
        <v>1.2213666072489603E-12</v>
      </c>
    </row>
    <row r="12" spans="1:11" ht="12.75">
      <c r="A12" s="27"/>
      <c r="B12" s="75" t="s">
        <v>37</v>
      </c>
      <c r="C12" s="76">
        <v>5E-11</v>
      </c>
      <c r="D12" s="76">
        <v>5E-11</v>
      </c>
      <c r="E12" s="76">
        <v>3E-09</v>
      </c>
      <c r="F12" s="76">
        <v>3E-09</v>
      </c>
      <c r="G12" s="76">
        <v>3E-09</v>
      </c>
      <c r="H12" s="76">
        <v>3E-09</v>
      </c>
      <c r="I12" s="76">
        <f>I13*10</f>
        <v>5E-14</v>
      </c>
      <c r="J12" s="76"/>
      <c r="K12" s="76"/>
    </row>
    <row r="13" spans="1:11" ht="12.75">
      <c r="A13" s="27"/>
      <c r="B13" s="75" t="s">
        <v>42</v>
      </c>
      <c r="C13" s="76">
        <v>5E-12</v>
      </c>
      <c r="D13" s="76">
        <v>5E-12</v>
      </c>
      <c r="E13" s="76">
        <v>1E-09</v>
      </c>
      <c r="F13" s="76">
        <v>1E-09</v>
      </c>
      <c r="G13" s="76">
        <v>1E-09</v>
      </c>
      <c r="H13" s="76">
        <v>1E-09</v>
      </c>
      <c r="I13" s="76">
        <v>5E-15</v>
      </c>
      <c r="J13" s="76"/>
      <c r="K13" s="76">
        <v>2.229590017825312E-12</v>
      </c>
    </row>
    <row r="14" spans="1:11" ht="12.75">
      <c r="A14" s="27"/>
      <c r="B14" s="75" t="s">
        <v>140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2.4E-14</v>
      </c>
      <c r="J14" s="76">
        <f>(0.00001/(PI()*60.5))*PI()*6</f>
        <v>9.917355371900827E-07</v>
      </c>
      <c r="K14" s="76">
        <v>2.0893642305407012E-11</v>
      </c>
    </row>
    <row r="15" spans="1:11" ht="12.75">
      <c r="A15" s="27"/>
      <c r="B15" s="75" t="s">
        <v>40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5.6E-15</v>
      </c>
      <c r="J15" s="76"/>
      <c r="K15" s="76"/>
    </row>
    <row r="16" spans="1:11" ht="12.75">
      <c r="A16" s="27"/>
      <c r="B16" s="75" t="s">
        <v>41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4.6E-15</v>
      </c>
      <c r="J16" s="76"/>
      <c r="K16" s="76">
        <v>3.098989898989899E-11</v>
      </c>
    </row>
    <row r="17" spans="1:11" ht="12.75">
      <c r="A17" s="27"/>
      <c r="B17" s="75" t="s">
        <v>141</v>
      </c>
      <c r="C17" s="76"/>
      <c r="D17" s="76"/>
      <c r="E17" s="76"/>
      <c r="F17" s="76"/>
      <c r="G17" s="76"/>
      <c r="H17" s="76"/>
      <c r="I17" s="76">
        <v>1.2E-16</v>
      </c>
      <c r="J17" s="76"/>
      <c r="K17" s="76">
        <v>5.020503862150921E-13</v>
      </c>
    </row>
    <row r="18" spans="2:11" s="70" customFormat="1" ht="38.25">
      <c r="B18" s="78" t="s">
        <v>147</v>
      </c>
      <c r="C18" s="79"/>
      <c r="D18" s="79"/>
      <c r="E18" s="79"/>
      <c r="F18" s="79"/>
      <c r="G18" s="79"/>
      <c r="H18" s="79"/>
      <c r="I18" s="85" t="s">
        <v>149</v>
      </c>
      <c r="J18" s="80" t="s">
        <v>148</v>
      </c>
      <c r="K18" s="85" t="s">
        <v>151</v>
      </c>
    </row>
    <row r="20" spans="1:3" ht="12.75">
      <c r="A20" s="2" t="s">
        <v>71</v>
      </c>
      <c r="B20" s="42" t="s">
        <v>74</v>
      </c>
      <c r="C20" s="5" t="s">
        <v>67</v>
      </c>
    </row>
    <row r="21" spans="1:3" ht="12.75">
      <c r="A21" s="27" t="s">
        <v>64</v>
      </c>
      <c r="B21" s="26" t="s">
        <v>66</v>
      </c>
      <c r="C21" s="43">
        <v>142000</v>
      </c>
    </row>
    <row r="22" spans="1:3" ht="12.75">
      <c r="A22" s="27" t="s">
        <v>38</v>
      </c>
      <c r="B22" s="26" t="s">
        <v>68</v>
      </c>
      <c r="C22" s="43">
        <v>4200</v>
      </c>
    </row>
    <row r="23" spans="1:3" ht="12.75">
      <c r="A23" s="27" t="s">
        <v>69</v>
      </c>
      <c r="B23" s="26" t="s">
        <v>68</v>
      </c>
      <c r="C23" s="43">
        <v>2000</v>
      </c>
    </row>
    <row r="24" spans="1:4" ht="12.75">
      <c r="A24" s="27" t="s">
        <v>137</v>
      </c>
      <c r="B24" s="26" t="s">
        <v>68</v>
      </c>
      <c r="C24" s="43">
        <v>1700</v>
      </c>
      <c r="D24" t="s">
        <v>138</v>
      </c>
    </row>
    <row r="25" ht="12.75">
      <c r="B25" s="69" t="s">
        <v>139</v>
      </c>
    </row>
    <row r="26" spans="2:4" ht="12.75">
      <c r="B26" s="64" t="s">
        <v>73</v>
      </c>
      <c r="C26" s="64" t="s">
        <v>135</v>
      </c>
      <c r="D26" s="64" t="s">
        <v>136</v>
      </c>
    </row>
    <row r="27" spans="2:4" ht="12.75">
      <c r="B27" s="64" t="s">
        <v>131</v>
      </c>
      <c r="C27" s="64">
        <v>4200</v>
      </c>
      <c r="D27" s="64">
        <v>2</v>
      </c>
    </row>
    <row r="28" spans="2:4" ht="12.75">
      <c r="B28" s="64" t="s">
        <v>132</v>
      </c>
      <c r="C28" s="64">
        <v>2000</v>
      </c>
      <c r="D28" s="64">
        <v>28</v>
      </c>
    </row>
    <row r="29" spans="2:4" ht="12.75">
      <c r="B29" s="64" t="s">
        <v>40</v>
      </c>
      <c r="C29" s="64">
        <v>1900</v>
      </c>
      <c r="D29" s="64">
        <v>28</v>
      </c>
    </row>
    <row r="30" spans="2:4" ht="12.75">
      <c r="B30" s="64" t="s">
        <v>41</v>
      </c>
      <c r="C30" s="64">
        <v>2150</v>
      </c>
      <c r="D30" s="64">
        <v>44</v>
      </c>
    </row>
    <row r="31" spans="2:4" ht="12.75">
      <c r="B31" s="64" t="s">
        <v>133</v>
      </c>
      <c r="C31" s="64">
        <v>2200</v>
      </c>
      <c r="D31" s="64">
        <v>16</v>
      </c>
    </row>
    <row r="32" spans="2:4" ht="12.75">
      <c r="B32" s="64" t="s">
        <v>134</v>
      </c>
      <c r="C32" s="64">
        <v>1700</v>
      </c>
      <c r="D32" s="64"/>
    </row>
    <row r="35" spans="1:5" ht="12.75">
      <c r="A35" s="2"/>
      <c r="C35" s="81" t="s">
        <v>72</v>
      </c>
      <c r="D35" s="81" t="s">
        <v>72</v>
      </c>
      <c r="E35" s="81" t="s">
        <v>72</v>
      </c>
    </row>
    <row r="36" spans="1:5" s="5" customFormat="1" ht="12.75">
      <c r="A36" s="42" t="s">
        <v>76</v>
      </c>
      <c r="B36" s="73" t="s">
        <v>75</v>
      </c>
      <c r="C36" s="81" t="s">
        <v>38</v>
      </c>
      <c r="D36" s="81" t="s">
        <v>65</v>
      </c>
      <c r="E36" s="81" t="s">
        <v>70</v>
      </c>
    </row>
    <row r="37" spans="2:13" ht="12.75">
      <c r="B37" s="82" t="s">
        <v>59</v>
      </c>
      <c r="C37" s="83">
        <f>'LLO VTX'!O$37</f>
        <v>1.6337111758994657E-08</v>
      </c>
      <c r="D37" s="84">
        <f>'LLO VTX'!O$39</f>
        <v>3.9973990753430165E-09</v>
      </c>
      <c r="E37" s="84">
        <f>'LLO VTX'!O$45</f>
        <v>2.1204666094867984E-08</v>
      </c>
      <c r="M37" s="59"/>
    </row>
    <row r="38" spans="2:5" ht="12.75">
      <c r="B38" s="82" t="s">
        <v>60</v>
      </c>
      <c r="C38" s="83">
        <f>'LLO END'!O$37</f>
        <v>9.952419879001767E-09</v>
      </c>
      <c r="D38" s="84">
        <f>'LLO END'!O$39</f>
        <v>9.606154657161625E-10</v>
      </c>
      <c r="E38" s="84">
        <f>'LLO END'!O$45</f>
        <v>1.2405651200918482E-08</v>
      </c>
    </row>
    <row r="39" spans="2:5" ht="12.75">
      <c r="B39" s="82" t="s">
        <v>61</v>
      </c>
      <c r="C39" s="83">
        <f>'LHO VTX'!O$37</f>
        <v>1.6634730806613703E-08</v>
      </c>
      <c r="D39" s="84">
        <f>'LHO VTX'!O$39</f>
        <v>4.0496878077373825E-09</v>
      </c>
      <c r="E39" s="84">
        <f>'LHO VTX'!O$45</f>
        <v>2.155457179352741E-08</v>
      </c>
    </row>
    <row r="40" spans="2:5" ht="12.75">
      <c r="B40" s="82" t="s">
        <v>62</v>
      </c>
      <c r="C40" s="83">
        <f>'LHO DIAG'!O$37</f>
        <v>1.4068095483919633E-08</v>
      </c>
      <c r="D40" s="84">
        <f>'LHO DIAG'!O$39</f>
        <v>3.8909171183321065E-09</v>
      </c>
      <c r="E40" s="84">
        <f>'LHO DIAG'!O$45</f>
        <v>1.882920832072625E-08</v>
      </c>
    </row>
    <row r="41" spans="2:5" ht="12.75">
      <c r="B41" s="82" t="s">
        <v>63</v>
      </c>
      <c r="C41" s="83">
        <f>'LHO END'!O$37</f>
        <v>1.735914497357692E-08</v>
      </c>
      <c r="D41" s="84">
        <f>'LHO END'!O$39</f>
        <v>1.8909592402015642E-09</v>
      </c>
      <c r="E41" s="84">
        <f>'LHO END'!O$45</f>
        <v>2.0742720069979036E-08</v>
      </c>
    </row>
  </sheetData>
  <sheetProtection/>
  <hyperlinks>
    <hyperlink ref="I18" r:id="rId1" display="E1000221-v1"/>
    <hyperlink ref="K18" r:id="rId2" display="E1000386"/>
  </hyperlinks>
  <printOptions/>
  <pageMargins left="0.75" right="0.75" top="1" bottom="1" header="0.5" footer="0.5"/>
  <pageSetup fitToHeight="1" fitToWidth="1" orientation="landscape" scale="59" r:id="rId3"/>
  <headerFooter alignWithMargins="0">
    <oddHeader>&amp;C&amp;F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52" sqref="N52"/>
    </sheetView>
  </sheetViews>
  <sheetFormatPr defaultColWidth="11.00390625" defaultRowHeight="12.75"/>
  <cols>
    <col min="1" max="1" width="41.375" style="0" customWidth="1"/>
    <col min="2" max="10" width="11.00390625" style="0" customWidth="1"/>
    <col min="11" max="11" width="15.375" style="0" customWidth="1"/>
    <col min="12" max="12" width="21.00390625" style="0" customWidth="1"/>
  </cols>
  <sheetData>
    <row r="1" spans="1:12" ht="12.75">
      <c r="A1" s="8"/>
      <c r="B1" s="45"/>
      <c r="C1" s="45"/>
      <c r="D1" s="45"/>
      <c r="E1" s="3" t="s">
        <v>0</v>
      </c>
      <c r="F1" s="3" t="s">
        <v>10</v>
      </c>
      <c r="G1" s="3" t="s">
        <v>20</v>
      </c>
      <c r="H1" s="3" t="s">
        <v>1</v>
      </c>
      <c r="I1" s="3" t="s">
        <v>2</v>
      </c>
      <c r="J1" s="3" t="s">
        <v>87</v>
      </c>
      <c r="K1" s="12" t="s">
        <v>113</v>
      </c>
      <c r="L1" s="2" t="s">
        <v>105</v>
      </c>
    </row>
    <row r="2" spans="1:12" ht="12.75">
      <c r="A2" s="8" t="s">
        <v>29</v>
      </c>
      <c r="B2" s="45" t="s">
        <v>78</v>
      </c>
      <c r="C2" s="45" t="s">
        <v>83</v>
      </c>
      <c r="D2" s="45" t="s">
        <v>85</v>
      </c>
      <c r="E2" s="3" t="s">
        <v>11</v>
      </c>
      <c r="F2" s="3" t="s">
        <v>11</v>
      </c>
      <c r="G2" s="3" t="s">
        <v>11</v>
      </c>
      <c r="H2" s="3" t="s">
        <v>11</v>
      </c>
      <c r="I2" s="3" t="s">
        <v>11</v>
      </c>
      <c r="J2" s="3" t="s">
        <v>11</v>
      </c>
      <c r="K2" s="3" t="s">
        <v>11</v>
      </c>
      <c r="L2" s="2"/>
    </row>
    <row r="3" spans="1:11" ht="12.75">
      <c r="A3" s="52"/>
      <c r="B3" s="52"/>
      <c r="C3" s="52"/>
      <c r="D3" s="52"/>
      <c r="E3" s="1"/>
      <c r="F3" s="1"/>
      <c r="G3" s="1"/>
      <c r="H3" s="1"/>
      <c r="I3" s="1"/>
      <c r="J3" s="1"/>
      <c r="K3" s="1"/>
    </row>
    <row r="4" spans="1:12" ht="12.75">
      <c r="A4" s="32" t="s">
        <v>117</v>
      </c>
      <c r="B4" s="51" t="s">
        <v>115</v>
      </c>
      <c r="C4" s="51"/>
      <c r="D4" s="51"/>
      <c r="E4" s="6"/>
      <c r="F4" s="6"/>
      <c r="G4" s="6"/>
      <c r="H4" s="6"/>
      <c r="I4" s="6"/>
      <c r="J4" s="6"/>
      <c r="K4" s="6">
        <f>32218*2.54^2</f>
        <v>207857.6488</v>
      </c>
      <c r="L4" s="7"/>
    </row>
    <row r="5" spans="1:12" ht="12.75">
      <c r="A5" s="18" t="s">
        <v>21</v>
      </c>
      <c r="B5" s="47"/>
      <c r="C5" s="47"/>
      <c r="D5" s="47"/>
      <c r="E5" s="19">
        <f aca="true" t="shared" si="0" ref="E5:K5">SUM(E4:E4)</f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207857.6488</v>
      </c>
      <c r="L5" s="20"/>
    </row>
    <row r="7" spans="1:12" ht="12.75">
      <c r="A7" s="32" t="s">
        <v>116</v>
      </c>
      <c r="B7" s="51" t="s">
        <v>123</v>
      </c>
      <c r="C7" s="51"/>
      <c r="D7" s="51"/>
      <c r="E7" s="6"/>
      <c r="F7" s="6">
        <v>69714</v>
      </c>
      <c r="G7" s="6"/>
      <c r="H7" s="6"/>
      <c r="I7" s="6"/>
      <c r="J7" s="6"/>
      <c r="K7" s="6">
        <f>35968+3316</f>
        <v>39284</v>
      </c>
      <c r="L7" s="7" t="s">
        <v>122</v>
      </c>
    </row>
    <row r="8" spans="1:12" ht="12.75">
      <c r="A8" s="18" t="s">
        <v>21</v>
      </c>
      <c r="B8" s="47"/>
      <c r="C8" s="47"/>
      <c r="D8" s="47"/>
      <c r="E8" s="19">
        <f aca="true" t="shared" si="1" ref="E8:K8">SUM(E7:E7)</f>
        <v>0</v>
      </c>
      <c r="F8" s="19">
        <f t="shared" si="1"/>
        <v>69714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39284</v>
      </c>
      <c r="L8" s="20"/>
    </row>
    <row r="10" spans="1:12" ht="12.75">
      <c r="A10" s="32" t="s">
        <v>126</v>
      </c>
      <c r="B10" s="51"/>
      <c r="C10" s="51"/>
      <c r="D10" s="51"/>
      <c r="E10" s="6"/>
      <c r="F10" s="6"/>
      <c r="G10" s="6"/>
      <c r="H10" s="6"/>
      <c r="I10" s="6"/>
      <c r="J10" s="6"/>
      <c r="K10" s="6"/>
      <c r="L10" s="7"/>
    </row>
    <row r="11" spans="1:12" ht="12.75">
      <c r="A11" s="18" t="s">
        <v>21</v>
      </c>
      <c r="B11" s="47"/>
      <c r="C11" s="47"/>
      <c r="D11" s="47"/>
      <c r="E11" s="19">
        <f aca="true" t="shared" si="2" ref="E11:K11">SUM(E10:E10)</f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20"/>
    </row>
    <row r="13" spans="1:12" ht="12.75">
      <c r="A13" s="32" t="s">
        <v>118</v>
      </c>
      <c r="B13" s="51"/>
      <c r="C13" s="51"/>
      <c r="D13" s="51"/>
      <c r="E13" s="6"/>
      <c r="F13" s="6"/>
      <c r="G13" s="6"/>
      <c r="H13" s="6"/>
      <c r="I13" s="6"/>
      <c r="J13" s="6"/>
      <c r="K13" s="6"/>
      <c r="L13" s="7"/>
    </row>
    <row r="14" spans="1:12" ht="12.75">
      <c r="A14" s="18" t="s">
        <v>21</v>
      </c>
      <c r="B14" s="47"/>
      <c r="C14" s="47"/>
      <c r="D14" s="47"/>
      <c r="E14" s="19">
        <f aca="true" t="shared" si="3" ref="E14:K14">SUM(E13:E13)</f>
        <v>0</v>
      </c>
      <c r="F14" s="19">
        <f t="shared" si="3"/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20"/>
    </row>
    <row r="16" spans="1:12" ht="12.75">
      <c r="A16" s="32" t="s">
        <v>119</v>
      </c>
      <c r="B16" s="51"/>
      <c r="C16" s="51"/>
      <c r="D16" s="51"/>
      <c r="E16" s="6"/>
      <c r="F16" s="6"/>
      <c r="G16" s="6"/>
      <c r="H16" s="6"/>
      <c r="I16" s="6"/>
      <c r="J16" s="6"/>
      <c r="K16" s="6"/>
      <c r="L16" s="7"/>
    </row>
    <row r="17" spans="1:12" ht="12.75">
      <c r="A17" s="18" t="s">
        <v>21</v>
      </c>
      <c r="B17" s="47"/>
      <c r="C17" s="47"/>
      <c r="D17" s="47"/>
      <c r="E17" s="19">
        <f aca="true" t="shared" si="4" ref="E17:K17">SUM(E16:E16)</f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20"/>
    </row>
    <row r="19" spans="1:12" ht="12.75">
      <c r="A19" s="32" t="s">
        <v>120</v>
      </c>
      <c r="B19" s="51"/>
      <c r="C19" s="51"/>
      <c r="D19" s="51"/>
      <c r="E19" s="6"/>
      <c r="F19" s="6">
        <v>4461</v>
      </c>
      <c r="G19" s="6">
        <v>29</v>
      </c>
      <c r="H19" s="6"/>
      <c r="I19" s="6"/>
      <c r="J19" s="6"/>
      <c r="K19" s="6">
        <v>21150</v>
      </c>
      <c r="L19" s="7"/>
    </row>
    <row r="20" spans="1:12" ht="12.75">
      <c r="A20" s="18" t="s">
        <v>21</v>
      </c>
      <c r="B20" s="47"/>
      <c r="C20" s="47"/>
      <c r="D20" s="47"/>
      <c r="E20" s="19">
        <f aca="true" t="shared" si="5" ref="E20:K20">SUM(E19:E19)</f>
        <v>0</v>
      </c>
      <c r="F20" s="19">
        <f t="shared" si="5"/>
        <v>4461</v>
      </c>
      <c r="G20" s="19">
        <f t="shared" si="5"/>
        <v>29</v>
      </c>
      <c r="H20" s="19">
        <f t="shared" si="5"/>
        <v>0</v>
      </c>
      <c r="I20" s="19">
        <f t="shared" si="5"/>
        <v>0</v>
      </c>
      <c r="J20" s="19">
        <f t="shared" si="5"/>
        <v>0</v>
      </c>
      <c r="K20" s="19">
        <f t="shared" si="5"/>
        <v>21150</v>
      </c>
      <c r="L20" s="20"/>
    </row>
    <row r="22" spans="1:12" ht="12.75">
      <c r="A22" s="32" t="s">
        <v>125</v>
      </c>
      <c r="B22" s="51"/>
      <c r="C22" s="51"/>
      <c r="D22" s="51"/>
      <c r="E22" s="6"/>
      <c r="F22" s="6"/>
      <c r="G22" s="6"/>
      <c r="H22" s="6"/>
      <c r="I22" s="6"/>
      <c r="J22" s="6"/>
      <c r="K22" s="6">
        <v>4230</v>
      </c>
      <c r="L22" s="7"/>
    </row>
    <row r="23" spans="1:12" ht="12.75">
      <c r="A23" s="18" t="s">
        <v>21</v>
      </c>
      <c r="B23" s="47"/>
      <c r="C23" s="47"/>
      <c r="D23" s="47"/>
      <c r="E23" s="19">
        <f aca="true" t="shared" si="6" ref="E23:K23">SUM(E22:E22)</f>
        <v>0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19">
        <f t="shared" si="6"/>
        <v>0</v>
      </c>
      <c r="J23" s="19">
        <f t="shared" si="6"/>
        <v>0</v>
      </c>
      <c r="K23" s="19">
        <f t="shared" si="6"/>
        <v>4230</v>
      </c>
      <c r="L23" s="20"/>
    </row>
    <row r="25" spans="1:12" ht="12.75">
      <c r="A25" s="32" t="s">
        <v>121</v>
      </c>
      <c r="B25" s="60" t="s">
        <v>124</v>
      </c>
      <c r="C25" s="60"/>
      <c r="D25" s="60">
        <v>1</v>
      </c>
      <c r="E25" s="60">
        <v>3088</v>
      </c>
      <c r="F25" s="60">
        <v>41330</v>
      </c>
      <c r="G25" s="60"/>
      <c r="H25" s="60"/>
      <c r="I25" s="60"/>
      <c r="J25" s="60"/>
      <c r="K25" s="60"/>
      <c r="L25" s="64"/>
    </row>
    <row r="26" spans="1:12" ht="12.75">
      <c r="A26" s="10" t="s">
        <v>80</v>
      </c>
      <c r="B26" s="61" t="s">
        <v>102</v>
      </c>
      <c r="C26" s="62"/>
      <c r="D26" s="60">
        <v>16</v>
      </c>
      <c r="E26" s="63"/>
      <c r="F26" s="63"/>
      <c r="G26" s="63">
        <f>D26*(2*PI()*0.2^2+0.39*PI()*0.39)*2.54^2</f>
        <v>75.26835577505871</v>
      </c>
      <c r="H26" s="60"/>
      <c r="I26" s="60"/>
      <c r="J26" s="60"/>
      <c r="K26" s="60"/>
      <c r="L26" s="64"/>
    </row>
    <row r="27" spans="1:12" ht="12.75">
      <c r="A27" s="10" t="s">
        <v>103</v>
      </c>
      <c r="B27" s="61" t="s">
        <v>104</v>
      </c>
      <c r="C27" s="62"/>
      <c r="D27" s="60">
        <v>2</v>
      </c>
      <c r="E27" s="63"/>
      <c r="F27" s="63"/>
      <c r="G27" s="63">
        <f>D27*2*2.54^2</f>
        <v>25.8064</v>
      </c>
      <c r="H27" s="60"/>
      <c r="I27" s="60"/>
      <c r="J27" s="60"/>
      <c r="K27" s="60"/>
      <c r="L27" s="64"/>
    </row>
    <row r="28" spans="1:12" ht="12.75">
      <c r="A28" s="18" t="s">
        <v>21</v>
      </c>
      <c r="B28" s="47"/>
      <c r="C28" s="47"/>
      <c r="D28" s="47"/>
      <c r="E28" s="19">
        <f>SUM(E25:E27)</f>
        <v>3088</v>
      </c>
      <c r="F28" s="19">
        <f aca="true" t="shared" si="7" ref="F28:K28">SUM(F25:F27)</f>
        <v>41330</v>
      </c>
      <c r="G28" s="19">
        <f t="shared" si="7"/>
        <v>101.0747557750587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20"/>
    </row>
    <row r="31" ht="12.75">
      <c r="F31" s="14"/>
    </row>
    <row r="50" ht="12.75">
      <c r="N50">
        <f>275/7</f>
        <v>39.285714285714285</v>
      </c>
    </row>
    <row r="51" ht="12.75">
      <c r="N51">
        <f>N50/4</f>
        <v>9.821428571428571</v>
      </c>
    </row>
  </sheetData>
  <sheetProtection/>
  <hyperlinks>
    <hyperlink ref="B26" r:id="rId1" display="D0900702"/>
    <hyperlink ref="B27" r:id="rId2" display="D0902849"/>
  </hyperlinks>
  <printOptions/>
  <pageMargins left="0.75" right="0.75" top="1" bottom="1" header="0.5" footer="0.5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4" sqref="G4"/>
    </sheetView>
  </sheetViews>
  <sheetFormatPr defaultColWidth="11.00390625" defaultRowHeight="12.75"/>
  <cols>
    <col min="1" max="1" width="16.375" style="0" customWidth="1"/>
  </cols>
  <sheetData>
    <row r="1" ht="12.75">
      <c r="A1" t="s">
        <v>30</v>
      </c>
    </row>
    <row r="2" ht="12.75">
      <c r="A2" t="s">
        <v>35</v>
      </c>
    </row>
    <row r="3" spans="1:7" s="2" customFormat="1" ht="12.75">
      <c r="A3" s="8"/>
      <c r="B3" s="3" t="s">
        <v>34</v>
      </c>
      <c r="C3" s="3" t="s">
        <v>10</v>
      </c>
      <c r="D3" s="3" t="s">
        <v>20</v>
      </c>
      <c r="E3" s="3" t="s">
        <v>1</v>
      </c>
      <c r="F3" s="3" t="s">
        <v>2</v>
      </c>
      <c r="G3" s="3" t="s">
        <v>87</v>
      </c>
    </row>
    <row r="4" spans="1:7" s="2" customFormat="1" ht="12.75">
      <c r="A4" s="8"/>
      <c r="B4" s="3" t="s">
        <v>11</v>
      </c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</row>
    <row r="5" spans="1:7" ht="12.75">
      <c r="A5" s="8" t="s">
        <v>31</v>
      </c>
      <c r="B5" s="1">
        <f>263*(12*2.54)^2</f>
        <v>244334.9952</v>
      </c>
      <c r="C5" s="1"/>
      <c r="D5" s="1"/>
      <c r="E5" s="1">
        <f>221*(12*2.54)^2</f>
        <v>205315.71839999998</v>
      </c>
      <c r="F5" s="1">
        <f>1055*(12*2.54)^2</f>
        <v>980127.0719999999</v>
      </c>
      <c r="G5" s="1"/>
    </row>
    <row r="6" spans="1:7" ht="12.75">
      <c r="A6" s="8" t="s">
        <v>32</v>
      </c>
      <c r="B6" s="1">
        <v>11</v>
      </c>
      <c r="C6" s="1">
        <v>11</v>
      </c>
      <c r="D6" s="1">
        <v>11</v>
      </c>
      <c r="E6" s="1">
        <v>11</v>
      </c>
      <c r="F6" s="1">
        <v>11</v>
      </c>
      <c r="G6" s="1">
        <v>11</v>
      </c>
    </row>
    <row r="7" spans="1:7" ht="12.75">
      <c r="A7" s="10"/>
      <c r="B7" s="1"/>
      <c r="C7" s="1"/>
      <c r="D7" s="1"/>
      <c r="E7" s="1"/>
      <c r="F7" s="1"/>
      <c r="G7" s="1"/>
    </row>
    <row r="8" spans="1:7" s="20" customFormat="1" ht="12.75">
      <c r="A8" s="18" t="s">
        <v>33</v>
      </c>
      <c r="B8" s="19">
        <f aca="true" t="shared" si="0" ref="B8:G8">B5/B6</f>
        <v>22212.27229090909</v>
      </c>
      <c r="C8" s="19">
        <f t="shared" si="0"/>
        <v>0</v>
      </c>
      <c r="D8" s="19">
        <f t="shared" si="0"/>
        <v>0</v>
      </c>
      <c r="E8" s="19">
        <f t="shared" si="0"/>
        <v>18665.065309090907</v>
      </c>
      <c r="F8" s="19">
        <f t="shared" si="0"/>
        <v>89102.46109090908</v>
      </c>
      <c r="G8" s="19">
        <f t="shared" si="0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90.25390625" style="0" customWidth="1"/>
  </cols>
  <sheetData>
    <row r="2" spans="1:10" ht="12.75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 t="s">
        <v>88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4.75" customHeight="1">
      <c r="A4" s="70" t="s">
        <v>111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44" t="s">
        <v>114</v>
      </c>
      <c r="B5" s="44"/>
      <c r="C5" s="44"/>
      <c r="D5" s="44"/>
      <c r="E5" s="44"/>
      <c r="F5" s="44"/>
      <c r="G5" s="44"/>
      <c r="H5" s="44"/>
      <c r="I5" s="44"/>
      <c r="J5" s="44"/>
    </row>
    <row r="6" ht="63.75">
      <c r="A6" s="86" t="s">
        <v>153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xSplit="1" ySplit="3" topLeftCell="G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" sqref="K3"/>
    </sheetView>
  </sheetViews>
  <sheetFormatPr defaultColWidth="11.00390625" defaultRowHeight="12.75"/>
  <cols>
    <col min="1" max="1" width="33.75390625" style="8" customWidth="1"/>
    <col min="2" max="2" width="10.625" style="4" customWidth="1"/>
    <col min="3" max="3" width="13.125" style="38" bestFit="1" customWidth="1"/>
    <col min="4" max="4" width="13.125" style="13" bestFit="1" customWidth="1"/>
    <col min="5" max="5" width="10.75390625" style="38" customWidth="1"/>
    <col min="6" max="6" width="11.25390625" style="0" customWidth="1"/>
    <col min="7" max="7" width="12.25390625" style="38" customWidth="1"/>
    <col min="8" max="8" width="11.00390625" style="0" customWidth="1"/>
    <col min="9" max="9" width="14.875" style="0" customWidth="1"/>
    <col min="10" max="11" width="16.75390625" style="0" customWidth="1"/>
    <col min="12" max="12" width="12.625" style="0" customWidth="1"/>
    <col min="13" max="13" width="10.75390625" style="4" customWidth="1"/>
    <col min="14" max="14" width="11.00390625" style="0" customWidth="1"/>
    <col min="15" max="15" width="12.875" style="0" customWidth="1"/>
  </cols>
  <sheetData>
    <row r="1" ht="12.75">
      <c r="A1" s="37" t="s">
        <v>13</v>
      </c>
    </row>
    <row r="2" spans="2:11" ht="12.75">
      <c r="B2" s="66"/>
      <c r="C2" s="92" t="s">
        <v>127</v>
      </c>
      <c r="D2" s="92"/>
      <c r="E2" s="92"/>
      <c r="F2" s="92"/>
      <c r="G2" s="92"/>
      <c r="H2" s="92"/>
      <c r="I2" s="92"/>
      <c r="J2" s="71"/>
      <c r="K2" s="71"/>
    </row>
    <row r="3" spans="1:12" s="24" customFormat="1" ht="25.5">
      <c r="A3" s="31"/>
      <c r="B3" s="24" t="s">
        <v>18</v>
      </c>
      <c r="C3" s="25" t="s">
        <v>0</v>
      </c>
      <c r="D3" s="25" t="s">
        <v>128</v>
      </c>
      <c r="E3" s="25" t="s">
        <v>20</v>
      </c>
      <c r="F3" s="24" t="s">
        <v>1</v>
      </c>
      <c r="G3" s="25" t="s">
        <v>2</v>
      </c>
      <c r="H3" s="24" t="s">
        <v>87</v>
      </c>
      <c r="I3" s="24" t="s">
        <v>113</v>
      </c>
      <c r="J3" s="24" t="s">
        <v>143</v>
      </c>
      <c r="K3" s="88" t="s">
        <v>150</v>
      </c>
      <c r="L3" s="88"/>
    </row>
    <row r="4" ht="12.75"/>
    <row r="5" spans="1:10" ht="12.75">
      <c r="A5" s="8" t="s">
        <v>12</v>
      </c>
      <c r="B5" s="4">
        <v>1</v>
      </c>
      <c r="C5" s="38">
        <v>7980000</v>
      </c>
      <c r="E5" s="38">
        <v>37000</v>
      </c>
      <c r="J5">
        <v>7</v>
      </c>
    </row>
    <row r="6" ht="12.75"/>
    <row r="7" spans="1:11" ht="12.75">
      <c r="A7" s="8" t="s">
        <v>14</v>
      </c>
      <c r="B7" s="4">
        <v>5</v>
      </c>
      <c r="C7" s="38">
        <f>$B7*SEI!B9</f>
        <v>188495.5592153876</v>
      </c>
      <c r="D7" s="38">
        <f>$B7*SEI!C9</f>
        <v>3949927.584</v>
      </c>
      <c r="E7" s="38">
        <f>$B7*SEI!D9</f>
        <v>0</v>
      </c>
      <c r="F7" s="38">
        <f>$B7*SEI!E9</f>
        <v>0</v>
      </c>
      <c r="G7" s="38">
        <f>$B7*SEI!F9</f>
        <v>19354.8</v>
      </c>
      <c r="H7" s="38">
        <f>$B7*SEI!G9</f>
        <v>0</v>
      </c>
      <c r="I7" s="38">
        <f>$B7*SEI!H9</f>
        <v>0</v>
      </c>
      <c r="J7" s="38"/>
      <c r="K7" s="38"/>
    </row>
    <row r="8" ht="12.75"/>
    <row r="9" spans="1:11" ht="12.75">
      <c r="A9" s="8" t="s">
        <v>15</v>
      </c>
      <c r="B9" s="4">
        <v>3</v>
      </c>
      <c r="C9" s="38">
        <f>$B9*SEI!B22</f>
        <v>164933.61431346415</v>
      </c>
      <c r="D9" s="38">
        <f>$B9*SEI!C22</f>
        <v>3251606.4000000004</v>
      </c>
      <c r="E9" s="38">
        <f>$B9*SEI!D22</f>
        <v>0</v>
      </c>
      <c r="F9" s="38">
        <f>$B9*SEI!E22</f>
        <v>0</v>
      </c>
      <c r="G9" s="38">
        <f>$B9*SEI!F22</f>
        <v>17419.32</v>
      </c>
      <c r="H9" s="38">
        <f>$B9*SEI!G22</f>
        <v>0</v>
      </c>
      <c r="I9" s="38">
        <f>$B9*SEI!H22</f>
        <v>0</v>
      </c>
      <c r="J9" s="38"/>
      <c r="K9" s="38"/>
    </row>
    <row r="11" spans="1:11" ht="12.75">
      <c r="A11" s="8" t="s">
        <v>51</v>
      </c>
      <c r="B11" s="4">
        <v>3</v>
      </c>
      <c r="C11" s="38">
        <f>$B11*SUS!E15</f>
        <v>123019.10879999999</v>
      </c>
      <c r="D11" s="38">
        <f>$B11*SUS!F15</f>
        <v>35603.154599999994</v>
      </c>
      <c r="E11" s="38">
        <f>$B11*SUS!G15</f>
        <v>770.7792</v>
      </c>
      <c r="F11" s="38">
        <f>$B11*SUS!H15</f>
        <v>3058.0584</v>
      </c>
      <c r="G11" s="38">
        <f>$B11*SUS!I15</f>
        <v>0</v>
      </c>
      <c r="H11" s="38">
        <f>$B11*SUS!J15</f>
        <v>2516.7156578500812</v>
      </c>
      <c r="I11" s="38">
        <f>$B11*SUS!K15</f>
        <v>0</v>
      </c>
      <c r="J11" s="38"/>
      <c r="K11" s="38"/>
    </row>
    <row r="13" ht="12.75">
      <c r="A13" s="8" t="s">
        <v>16</v>
      </c>
    </row>
    <row r="14" spans="1:11" ht="12.75">
      <c r="A14" s="32" t="s">
        <v>22</v>
      </c>
      <c r="B14" s="4">
        <v>2</v>
      </c>
      <c r="C14" s="38">
        <f>$B14*SUS!E23</f>
        <v>82012.7392</v>
      </c>
      <c r="D14" s="38">
        <f>$B14*SUS!F23</f>
        <v>23735.4364</v>
      </c>
      <c r="E14" s="38">
        <f>$B14*SUS!G23</f>
        <v>242.58016000000003</v>
      </c>
      <c r="F14" s="38">
        <f>$B14*SUS!H23</f>
        <v>2038.7056</v>
      </c>
      <c r="G14" s="38">
        <f>$B14*SUS!I23</f>
        <v>0</v>
      </c>
      <c r="H14" s="38">
        <f>$B14*SUS!J23</f>
        <v>0</v>
      </c>
      <c r="I14" s="38">
        <f>$B14*SUS!K23</f>
        <v>0</v>
      </c>
      <c r="J14" s="38"/>
      <c r="K14" s="38"/>
    </row>
    <row r="15" spans="1:11" ht="12.75">
      <c r="A15" s="32" t="s">
        <v>23</v>
      </c>
      <c r="B15" s="4">
        <v>7</v>
      </c>
      <c r="C15" s="38">
        <f>$B15*SUS!E31</f>
        <v>126560</v>
      </c>
      <c r="D15" s="38">
        <f>$B15*SUS!F31</f>
        <v>135436</v>
      </c>
      <c r="E15" s="38">
        <f>$B15*SUS!G31</f>
        <v>180.6448</v>
      </c>
      <c r="F15" s="38">
        <f>$B15*SUS!H31</f>
        <v>0</v>
      </c>
      <c r="G15" s="38">
        <f>$B15*SUS!I31</f>
        <v>0</v>
      </c>
      <c r="H15" s="38">
        <f>$B15*SUS!J31</f>
        <v>0</v>
      </c>
      <c r="I15" s="38">
        <f>$B15*SUS!K31</f>
        <v>0</v>
      </c>
      <c r="J15" s="38"/>
      <c r="K15" s="38"/>
    </row>
    <row r="16" spans="1:11" ht="12.75">
      <c r="A16" s="32" t="s">
        <v>24</v>
      </c>
      <c r="B16" s="4">
        <v>4</v>
      </c>
      <c r="C16" s="38">
        <f>$B16*SUS!E39</f>
        <v>0</v>
      </c>
      <c r="D16" s="38">
        <f>$B16*SUS!F39</f>
        <v>0</v>
      </c>
      <c r="E16" s="38">
        <f>$B16*SUS!G39</f>
        <v>0</v>
      </c>
      <c r="F16" s="38">
        <f>$B16*SUS!H39</f>
        <v>0</v>
      </c>
      <c r="G16" s="38">
        <f>$B16*SUS!I39</f>
        <v>0</v>
      </c>
      <c r="H16" s="38">
        <f>$B16*SUS!J39</f>
        <v>0</v>
      </c>
      <c r="I16" s="38">
        <f>$B16*SUS!K39</f>
        <v>0</v>
      </c>
      <c r="J16" s="38"/>
      <c r="K16" s="38"/>
    </row>
    <row r="17" spans="1:11" ht="12.75">
      <c r="A17" s="32" t="s">
        <v>26</v>
      </c>
      <c r="B17" s="4">
        <v>1</v>
      </c>
      <c r="C17" s="38">
        <f>$B17*SUS!E47</f>
        <v>0</v>
      </c>
      <c r="D17" s="38">
        <f>$B17*SUS!F47</f>
        <v>47819</v>
      </c>
      <c r="E17" s="38">
        <f>$B17*SUS!G47</f>
        <v>101.0747557750587</v>
      </c>
      <c r="F17" s="38">
        <f>$B17*SUS!H47</f>
        <v>0</v>
      </c>
      <c r="G17" s="38">
        <f>$B17*SUS!I47</f>
        <v>0</v>
      </c>
      <c r="H17" s="38">
        <f>$B17*SUS!J47</f>
        <v>0</v>
      </c>
      <c r="I17" s="38">
        <f>$B17*SUS!K47</f>
        <v>0</v>
      </c>
      <c r="J17" s="38"/>
      <c r="K17" s="38"/>
    </row>
    <row r="18" spans="1:11" ht="12.75">
      <c r="A18" s="32" t="s">
        <v>25</v>
      </c>
      <c r="B18" s="4">
        <v>8</v>
      </c>
      <c r="C18" s="38">
        <f>$B18*SUS!E55</f>
        <v>0</v>
      </c>
      <c r="D18" s="38">
        <f>$B18*SUS!F55</f>
        <v>0</v>
      </c>
      <c r="E18" s="38">
        <f>$B18*SUS!G55</f>
        <v>0</v>
      </c>
      <c r="F18" s="38">
        <f>$B18*SUS!H55</f>
        <v>0</v>
      </c>
      <c r="G18" s="38">
        <f>$B18*SUS!I55</f>
        <v>0</v>
      </c>
      <c r="H18" s="38">
        <f>$B18*SUS!J55</f>
        <v>0</v>
      </c>
      <c r="I18" s="38">
        <f>$B18*SUS!K55</f>
        <v>0</v>
      </c>
      <c r="J18" s="38"/>
      <c r="K18" s="38"/>
    </row>
    <row r="20" ht="12.75">
      <c r="A20" s="8" t="s">
        <v>17</v>
      </c>
    </row>
    <row r="21" spans="1:11" ht="12.75">
      <c r="A21" s="32" t="s">
        <v>112</v>
      </c>
      <c r="B21" s="4">
        <v>2</v>
      </c>
      <c r="C21" s="38">
        <f>$B21*AOS!E5</f>
        <v>0</v>
      </c>
      <c r="D21" s="38">
        <f>$B21*AOS!F5</f>
        <v>0</v>
      </c>
      <c r="E21" s="38">
        <f>$B21*AOS!G5</f>
        <v>0</v>
      </c>
      <c r="F21" s="38">
        <f>$B21*AOS!H5</f>
        <v>0</v>
      </c>
      <c r="G21" s="38">
        <f>$B21*AOS!I5</f>
        <v>0</v>
      </c>
      <c r="H21" s="38">
        <f>$B21*AOS!J5</f>
        <v>0</v>
      </c>
      <c r="I21" s="38">
        <f>$B21*AOS!K5</f>
        <v>415715.2976</v>
      </c>
      <c r="J21" s="38"/>
      <c r="K21" s="38"/>
    </row>
    <row r="22" spans="1:11" ht="12.75">
      <c r="A22" s="32" t="s">
        <v>116</v>
      </c>
      <c r="B22" s="4">
        <v>2</v>
      </c>
      <c r="C22" s="38">
        <f>$B22*AOS!E8</f>
        <v>0</v>
      </c>
      <c r="D22" s="38">
        <f>$B22*AOS!F8</f>
        <v>139428</v>
      </c>
      <c r="E22" s="38">
        <f>$B22*AOS!G8</f>
        <v>0</v>
      </c>
      <c r="F22" s="38">
        <f>$B22*AOS!H8</f>
        <v>0</v>
      </c>
      <c r="G22" s="38">
        <f>$B22*AOS!I8</f>
        <v>0</v>
      </c>
      <c r="H22" s="38">
        <f>$B22*AOS!J8</f>
        <v>0</v>
      </c>
      <c r="I22" s="38">
        <f>$B22*AOS!K8</f>
        <v>78568</v>
      </c>
      <c r="J22" s="38"/>
      <c r="K22" s="38"/>
    </row>
    <row r="23" spans="1:11" ht="12.75">
      <c r="A23" s="32" t="s">
        <v>126</v>
      </c>
      <c r="B23" s="4">
        <v>2</v>
      </c>
      <c r="C23" s="38">
        <f>$B23*AOS!E11</f>
        <v>0</v>
      </c>
      <c r="D23" s="38">
        <f>$B23*AOS!F11</f>
        <v>0</v>
      </c>
      <c r="E23" s="38">
        <f>$B23*AOS!G11</f>
        <v>0</v>
      </c>
      <c r="F23" s="38">
        <f>$B23*AOS!H11</f>
        <v>0</v>
      </c>
      <c r="G23" s="38">
        <f>$B23*AOS!I11</f>
        <v>0</v>
      </c>
      <c r="H23" s="38">
        <f>$B23*AOS!J11</f>
        <v>0</v>
      </c>
      <c r="I23" s="38">
        <f>$B23*AOS!K11</f>
        <v>0</v>
      </c>
      <c r="J23" s="38"/>
      <c r="K23" s="38"/>
    </row>
    <row r="24" spans="1:11" ht="12.75">
      <c r="A24" s="32" t="s">
        <v>118</v>
      </c>
      <c r="B24" s="4">
        <v>9</v>
      </c>
      <c r="C24" s="38">
        <f>$B24*AOS!E14</f>
        <v>0</v>
      </c>
      <c r="D24" s="38">
        <f>$B24*AOS!F14</f>
        <v>0</v>
      </c>
      <c r="E24" s="38">
        <f>$B24*AOS!G14</f>
        <v>0</v>
      </c>
      <c r="F24" s="38">
        <f>$B24*AOS!H14</f>
        <v>0</v>
      </c>
      <c r="G24" s="38">
        <f>$B24*AOS!I14</f>
        <v>0</v>
      </c>
      <c r="H24" s="38">
        <f>$B24*AOS!J14</f>
        <v>0</v>
      </c>
      <c r="I24" s="38">
        <f>$B24*AOS!K14</f>
        <v>0</v>
      </c>
      <c r="J24" s="38"/>
      <c r="K24" s="38"/>
    </row>
    <row r="25" spans="1:11" ht="12.75">
      <c r="A25" s="32" t="s">
        <v>119</v>
      </c>
      <c r="B25" s="4">
        <v>2</v>
      </c>
      <c r="C25" s="38">
        <f>$B25*AOS!E17</f>
        <v>0</v>
      </c>
      <c r="D25" s="38">
        <f>$B25*AOS!F17</f>
        <v>0</v>
      </c>
      <c r="E25" s="38">
        <f>$B25*AOS!G17</f>
        <v>0</v>
      </c>
      <c r="F25" s="38">
        <f>$B25*AOS!H17</f>
        <v>0</v>
      </c>
      <c r="G25" s="38">
        <f>$B25*AOS!I17</f>
        <v>0</v>
      </c>
      <c r="H25" s="38">
        <f>$B25*AOS!J17</f>
        <v>0</v>
      </c>
      <c r="I25" s="38">
        <f>$B25*AOS!K17</f>
        <v>0</v>
      </c>
      <c r="J25" s="38"/>
      <c r="K25" s="38"/>
    </row>
    <row r="26" spans="1:11" ht="12.75">
      <c r="A26" s="32" t="s">
        <v>120</v>
      </c>
      <c r="B26" s="4">
        <v>2</v>
      </c>
      <c r="C26" s="38">
        <f>$B26*AOS!E20</f>
        <v>0</v>
      </c>
      <c r="D26" s="38">
        <f>$B26*AOS!F20</f>
        <v>8922</v>
      </c>
      <c r="E26" s="38">
        <f>$B26*AOS!G20</f>
        <v>58</v>
      </c>
      <c r="F26" s="38">
        <f>$B26*AOS!H20</f>
        <v>0</v>
      </c>
      <c r="G26" s="38">
        <f>$B26*AOS!I20</f>
        <v>0</v>
      </c>
      <c r="H26" s="38">
        <f>$B26*AOS!J20</f>
        <v>0</v>
      </c>
      <c r="I26" s="38">
        <f>$B26*AOS!K20</f>
        <v>42300</v>
      </c>
      <c r="J26" s="38"/>
      <c r="K26" s="38"/>
    </row>
    <row r="27" spans="1:11" ht="12.75">
      <c r="A27" s="32" t="s">
        <v>121</v>
      </c>
      <c r="B27" s="4">
        <v>1</v>
      </c>
      <c r="C27" s="38">
        <f>$B27*AOS!E28</f>
        <v>3088</v>
      </c>
      <c r="D27" s="38">
        <f>$B27*AOS!F28</f>
        <v>41330</v>
      </c>
      <c r="E27" s="38">
        <f>$B27*AOS!G28</f>
        <v>101.0747557750587</v>
      </c>
      <c r="F27" s="38">
        <f>$B27*AOS!H28</f>
        <v>0</v>
      </c>
      <c r="G27" s="38">
        <f>$B27*AOS!I28</f>
        <v>0</v>
      </c>
      <c r="H27" s="38">
        <f>$B27*AOS!J28</f>
        <v>0</v>
      </c>
      <c r="I27" s="38">
        <f>$B27*AOS!K28</f>
        <v>0</v>
      </c>
      <c r="J27" s="38"/>
      <c r="K27" s="38"/>
    </row>
    <row r="28" ht="12.75">
      <c r="A28" s="32"/>
    </row>
    <row r="29" spans="1:11" ht="12.75">
      <c r="A29" s="8" t="s">
        <v>19</v>
      </c>
      <c r="B29" s="4">
        <v>9</v>
      </c>
      <c r="C29" s="38">
        <f>$B29*WIRE!B8</f>
        <v>199910.4506181818</v>
      </c>
      <c r="D29" s="38">
        <f>$B29*WIRE!C8</f>
        <v>0</v>
      </c>
      <c r="E29" s="38">
        <f>$B29*WIRE!D8</f>
        <v>0</v>
      </c>
      <c r="F29" s="38">
        <f>$B29*WIRE!E8</f>
        <v>167985.58778181818</v>
      </c>
      <c r="G29" s="38">
        <f>$B29*WIRE!F8</f>
        <v>801922.1498181818</v>
      </c>
      <c r="H29" s="38">
        <f>$B29*WIRE!G8</f>
        <v>0</v>
      </c>
      <c r="I29" s="38">
        <f>$B29*WIRE!H8</f>
        <v>0</v>
      </c>
      <c r="J29" s="38"/>
      <c r="K29" s="38"/>
    </row>
    <row r="32" spans="1:13" s="23" customFormat="1" ht="12.75">
      <c r="A32" s="89" t="s">
        <v>152</v>
      </c>
      <c r="B32" s="21"/>
      <c r="C32" s="39">
        <f aca="true" t="shared" si="0" ref="C32:J32">SUM(C5:C31)</f>
        <v>8868019.472147033</v>
      </c>
      <c r="D32" s="39">
        <f t="shared" si="0"/>
        <v>7633807.575</v>
      </c>
      <c r="E32" s="39">
        <f t="shared" si="0"/>
        <v>38454.15367155011</v>
      </c>
      <c r="F32" s="39">
        <f t="shared" si="0"/>
        <v>173082.35178181817</v>
      </c>
      <c r="G32" s="39">
        <f t="shared" si="0"/>
        <v>838696.2698181818</v>
      </c>
      <c r="H32" s="39">
        <f t="shared" si="0"/>
        <v>2516.7156578500812</v>
      </c>
      <c r="I32" s="39">
        <f t="shared" si="0"/>
        <v>536583.2975999999</v>
      </c>
      <c r="J32" s="39">
        <f t="shared" si="0"/>
        <v>7</v>
      </c>
      <c r="K32" s="39">
        <v>12.7</v>
      </c>
      <c r="M32" s="21"/>
    </row>
    <row r="35" spans="1:15" s="7" customFormat="1" ht="12.75">
      <c r="A35" s="16"/>
      <c r="B35" s="92" t="s">
        <v>129</v>
      </c>
      <c r="C35" s="92"/>
      <c r="D35" s="92"/>
      <c r="E35" s="92"/>
      <c r="F35" s="92"/>
      <c r="G35" s="92"/>
      <c r="H35" s="92"/>
      <c r="I35" s="92"/>
      <c r="J35" s="72"/>
      <c r="K35" s="72"/>
      <c r="M35" s="34"/>
      <c r="N35" s="36" t="s">
        <v>49</v>
      </c>
      <c r="O35" s="36" t="s">
        <v>50</v>
      </c>
    </row>
    <row r="36" spans="1:15" ht="25.5">
      <c r="A36" s="65" t="s">
        <v>130</v>
      </c>
      <c r="B36" s="2" t="s">
        <v>77</v>
      </c>
      <c r="C36" s="3" t="s">
        <v>43</v>
      </c>
      <c r="D36" s="3" t="s">
        <v>10</v>
      </c>
      <c r="E36" s="3" t="s">
        <v>20</v>
      </c>
      <c r="F36" s="3" t="s">
        <v>1</v>
      </c>
      <c r="G36" s="3" t="s">
        <v>2</v>
      </c>
      <c r="H36" s="3" t="s">
        <v>3</v>
      </c>
      <c r="I36" s="12" t="s">
        <v>113</v>
      </c>
      <c r="J36" s="12" t="s">
        <v>143</v>
      </c>
      <c r="K36" s="88" t="s">
        <v>150</v>
      </c>
      <c r="L36" s="12" t="s">
        <v>45</v>
      </c>
      <c r="M36" s="12" t="s">
        <v>48</v>
      </c>
      <c r="N36" s="3" t="s">
        <v>46</v>
      </c>
      <c r="O36" s="3" t="s">
        <v>46</v>
      </c>
    </row>
    <row r="37" spans="1:15" s="27" customFormat="1" ht="12.75">
      <c r="A37" s="10" t="s">
        <v>38</v>
      </c>
      <c r="B37" s="29">
        <v>3.8E-06</v>
      </c>
      <c r="C37" s="29">
        <f>C$32*Summary!C11</f>
        <v>8.868019472147032E-05</v>
      </c>
      <c r="D37" s="29">
        <f>D$32*Summary!D11</f>
        <v>7.633807575E-05</v>
      </c>
      <c r="E37" s="29">
        <f>E$32*Summary!E11</f>
        <v>3.845415367155011E-06</v>
      </c>
      <c r="F37" s="29">
        <f>F$32*Summary!F11</f>
        <v>1.7308235178181817E-05</v>
      </c>
      <c r="G37" s="29">
        <f>G$32*Summary!G11</f>
        <v>8.386962698181818E-05</v>
      </c>
      <c r="H37" s="29">
        <f>H$32*Summary!H11</f>
        <v>2.5167156578500815E-07</v>
      </c>
      <c r="I37" s="29">
        <f>I$32*Summary!I11</f>
        <v>3.702424753439999E-07</v>
      </c>
      <c r="J37" s="29">
        <f>J$32*Summary!J11</f>
        <v>0</v>
      </c>
      <c r="K37" s="29">
        <f>K$32*Summary!K11</f>
        <v>1.5511355912061793E-11</v>
      </c>
      <c r="L37" s="28">
        <f>SUM(B37:K37)</f>
        <v>0.0002744634775511102</v>
      </c>
      <c r="M37" s="4">
        <f>4*4200</f>
        <v>16800</v>
      </c>
      <c r="N37" s="28">
        <f>L37/M37</f>
        <v>1.6337111758994657E-08</v>
      </c>
      <c r="O37" s="28">
        <f>L37/M37</f>
        <v>1.6337111758994657E-08</v>
      </c>
    </row>
    <row r="38" spans="1:15" ht="12.75">
      <c r="A38" s="10" t="s">
        <v>37</v>
      </c>
      <c r="B38" s="27"/>
      <c r="C38" s="29">
        <f>C$32*Summary!C12</f>
        <v>0.00044340097360735163</v>
      </c>
      <c r="D38" s="29">
        <f>D$32*Summary!D12</f>
        <v>0.00038169037875</v>
      </c>
      <c r="E38" s="29">
        <f>E$32*Summary!E12</f>
        <v>0.00011536246101465033</v>
      </c>
      <c r="F38" s="29">
        <f>F$32*Summary!F12</f>
        <v>0.0005192470553454545</v>
      </c>
      <c r="G38" s="29">
        <f>G$32*Summary!G12</f>
        <v>0.002516088809454545</v>
      </c>
      <c r="H38" s="29">
        <f>H$32*Summary!H12</f>
        <v>7.550146973550244E-06</v>
      </c>
      <c r="I38" s="29">
        <f>I$32*Summary!I12</f>
        <v>2.6829164879999997E-08</v>
      </c>
      <c r="J38" s="29">
        <f>J$32*Summary!J12</f>
        <v>0</v>
      </c>
      <c r="K38" s="29">
        <f>K$32*Summary!K12</f>
        <v>0</v>
      </c>
      <c r="L38" s="28">
        <f aca="true" t="shared" si="1" ref="L38:L43">SUM(B38:K38)</f>
        <v>0.003983366654310432</v>
      </c>
      <c r="M38" s="4">
        <f>2*142000</f>
        <v>284000</v>
      </c>
      <c r="N38" s="28">
        <f>L38/M38</f>
        <v>1.402593892362828E-08</v>
      </c>
      <c r="O38" s="28"/>
    </row>
    <row r="39" spans="1:15" ht="12.75">
      <c r="A39" s="10" t="s">
        <v>42</v>
      </c>
      <c r="B39" s="27"/>
      <c r="C39" s="29">
        <f>C$32*Summary!C13</f>
        <v>4.434009736073516E-05</v>
      </c>
      <c r="D39" s="29">
        <f>D$32*Summary!D13</f>
        <v>3.8169037875E-05</v>
      </c>
      <c r="E39" s="29">
        <f>E$32*Summary!E13</f>
        <v>3.8454153671550116E-05</v>
      </c>
      <c r="F39" s="29">
        <f>F$32*Summary!F13</f>
        <v>0.0001730823517818182</v>
      </c>
      <c r="G39" s="29">
        <f>G$32*Summary!G13</f>
        <v>0.0008386962698181818</v>
      </c>
      <c r="H39" s="29">
        <f>H$32*Summary!H13</f>
        <v>2.5167156578500813E-06</v>
      </c>
      <c r="I39" s="29">
        <f>I$32*Summary!I13</f>
        <v>2.6829164879999997E-09</v>
      </c>
      <c r="J39" s="29">
        <f>J$32*Summary!J13</f>
        <v>0</v>
      </c>
      <c r="K39" s="29">
        <f>K$32*Summary!K13</f>
        <v>2.8315793226381462E-11</v>
      </c>
      <c r="L39" s="28">
        <f t="shared" si="1"/>
        <v>0.0011352613373974167</v>
      </c>
      <c r="M39" s="4">
        <f>2*142000</f>
        <v>284000</v>
      </c>
      <c r="N39" s="28"/>
      <c r="O39" s="28">
        <f>L39/M39</f>
        <v>3.9973990753430165E-09</v>
      </c>
    </row>
    <row r="40" spans="1:15" ht="12.75">
      <c r="A40" s="10" t="s">
        <v>39</v>
      </c>
      <c r="B40" s="27"/>
      <c r="C40" s="29">
        <f>C$32*Summary!C14</f>
        <v>0</v>
      </c>
      <c r="D40" s="29">
        <f>D$32*Summary!D14</f>
        <v>0</v>
      </c>
      <c r="E40" s="29">
        <f>E$32*Summary!E14</f>
        <v>0</v>
      </c>
      <c r="F40" s="29">
        <f>F$32*Summary!F14</f>
        <v>0</v>
      </c>
      <c r="G40" s="29">
        <f>G$32*Summary!G14</f>
        <v>0</v>
      </c>
      <c r="H40" s="29">
        <f>H$32*Summary!H14</f>
        <v>0</v>
      </c>
      <c r="I40" s="29">
        <f>I$32*Summary!I14</f>
        <v>1.2877999142399997E-08</v>
      </c>
      <c r="J40" s="29">
        <f>J$32*Summary!J14</f>
        <v>6.942148760330579E-06</v>
      </c>
      <c r="K40" s="29">
        <f>K$32*Summary!K14</f>
        <v>2.6534925727866903E-10</v>
      </c>
      <c r="L40" s="28">
        <f t="shared" si="1"/>
        <v>6.9552921087302575E-06</v>
      </c>
      <c r="M40" s="4">
        <f>4*2000</f>
        <v>8000</v>
      </c>
      <c r="N40" s="28">
        <f>L40/M40</f>
        <v>8.694115135912822E-10</v>
      </c>
      <c r="O40" s="28">
        <f>L40/M40</f>
        <v>8.694115135912822E-10</v>
      </c>
    </row>
    <row r="41" spans="1:15" ht="12.75">
      <c r="A41" s="10" t="s">
        <v>40</v>
      </c>
      <c r="B41" s="27"/>
      <c r="C41" s="29">
        <f>C$32*Summary!C15</f>
        <v>0</v>
      </c>
      <c r="D41" s="29">
        <f>D$32*Summary!D15</f>
        <v>0</v>
      </c>
      <c r="E41" s="29">
        <f>E$32*Summary!E15</f>
        <v>0</v>
      </c>
      <c r="F41" s="29">
        <f>F$32*Summary!F15</f>
        <v>0</v>
      </c>
      <c r="G41" s="29">
        <f>G$32*Summary!G15</f>
        <v>0</v>
      </c>
      <c r="H41" s="29">
        <f>H$32*Summary!H15</f>
        <v>0</v>
      </c>
      <c r="I41" s="29">
        <f>I$32*Summary!I15</f>
        <v>3.00486646656E-09</v>
      </c>
      <c r="J41" s="29">
        <f>J$32*Summary!J15</f>
        <v>0</v>
      </c>
      <c r="K41" s="29">
        <f>K$32*Summary!K15</f>
        <v>0</v>
      </c>
      <c r="L41" s="28">
        <f t="shared" si="1"/>
        <v>3.00486646656E-09</v>
      </c>
      <c r="M41" s="4">
        <f>4*2000</f>
        <v>8000</v>
      </c>
      <c r="N41" s="28">
        <f>L41/M41</f>
        <v>3.7560830832E-13</v>
      </c>
      <c r="O41" s="28">
        <f>L41/M41</f>
        <v>3.7560830832E-13</v>
      </c>
    </row>
    <row r="42" spans="1:15" ht="12.75">
      <c r="A42" s="10" t="s">
        <v>41</v>
      </c>
      <c r="B42" s="27"/>
      <c r="C42" s="29">
        <f>C$32*Summary!C16</f>
        <v>0</v>
      </c>
      <c r="D42" s="29">
        <f>D$32*Summary!D16</f>
        <v>0</v>
      </c>
      <c r="E42" s="29">
        <f>E$32*Summary!E16</f>
        <v>0</v>
      </c>
      <c r="F42" s="29">
        <f>F$32*Summary!F16</f>
        <v>0</v>
      </c>
      <c r="G42" s="29">
        <f>G$32*Summary!G16</f>
        <v>0</v>
      </c>
      <c r="H42" s="29">
        <f>H$32*Summary!H16</f>
        <v>0</v>
      </c>
      <c r="I42" s="29">
        <f>I$32*Summary!I16</f>
        <v>2.4682831689599994E-09</v>
      </c>
      <c r="J42" s="29">
        <f>J$32*Summary!J16</f>
        <v>0</v>
      </c>
      <c r="K42" s="29">
        <f>K$32*Summary!K16</f>
        <v>3.935717171717171E-10</v>
      </c>
      <c r="L42" s="28">
        <f t="shared" si="1"/>
        <v>2.8618548861317164E-09</v>
      </c>
      <c r="M42" s="4">
        <f>4*2000</f>
        <v>8000</v>
      </c>
      <c r="N42" s="28">
        <f>L42/M42</f>
        <v>3.5773186076646455E-13</v>
      </c>
      <c r="O42" s="28">
        <f>L42/M42</f>
        <v>3.5773186076646455E-13</v>
      </c>
    </row>
    <row r="43" spans="1:15" ht="12.75">
      <c r="A43" s="90" t="s">
        <v>141</v>
      </c>
      <c r="C43" s="29">
        <f>C$32*Summary!C17</f>
        <v>0</v>
      </c>
      <c r="D43" s="29">
        <f>D$32*Summary!D17</f>
        <v>0</v>
      </c>
      <c r="E43" s="29">
        <f>E$32*Summary!E17</f>
        <v>0</v>
      </c>
      <c r="F43" s="29">
        <f>F$32*Summary!F17</f>
        <v>0</v>
      </c>
      <c r="G43" s="29">
        <f>G$32*Summary!G17</f>
        <v>0</v>
      </c>
      <c r="H43" s="29">
        <f>H$32*Summary!H17</f>
        <v>0</v>
      </c>
      <c r="I43" s="29">
        <f>I$32*Summary!I17</f>
        <v>6.438999571199999E-11</v>
      </c>
      <c r="J43" s="29">
        <f>J$32*Summary!J17</f>
        <v>0</v>
      </c>
      <c r="K43" s="29">
        <f>K$32*Summary!K17</f>
        <v>6.37603990493167E-12</v>
      </c>
      <c r="L43" s="28">
        <f t="shared" si="1"/>
        <v>7.076603561693167E-11</v>
      </c>
      <c r="M43" s="4">
        <v>6800</v>
      </c>
      <c r="N43" s="28">
        <f>L43/M43</f>
        <v>1.0406769943666421E-14</v>
      </c>
      <c r="O43" s="28">
        <f>L43/M43</f>
        <v>1.0406769943666421E-14</v>
      </c>
    </row>
    <row r="45" spans="1:15" s="23" customFormat="1" ht="12.75">
      <c r="A45" s="33" t="s">
        <v>47</v>
      </c>
      <c r="B45" s="21"/>
      <c r="C45" s="39"/>
      <c r="D45" s="30"/>
      <c r="E45" s="39"/>
      <c r="G45" s="39"/>
      <c r="M45" s="21"/>
      <c r="N45" s="41">
        <f>SUM(N37:N44)</f>
        <v>3.123320594315325E-08</v>
      </c>
      <c r="O45" s="41">
        <f>SUM(O37:O44)</f>
        <v>2.1204666094867984E-08</v>
      </c>
    </row>
    <row r="47" spans="1:13" s="7" customFormat="1" ht="12.75">
      <c r="A47" s="16"/>
      <c r="B47" s="34"/>
      <c r="C47" s="40"/>
      <c r="D47" s="35"/>
      <c r="E47" s="40"/>
      <c r="G47" s="40"/>
      <c r="M47" s="34"/>
    </row>
    <row r="49" spans="14:15" ht="12.75">
      <c r="N49">
        <v>3.036534365292518E-08</v>
      </c>
      <c r="O49">
        <v>2.033680370493642E-08</v>
      </c>
    </row>
  </sheetData>
  <sheetProtection/>
  <mergeCells count="2">
    <mergeCell ref="B35:I35"/>
    <mergeCell ref="C2:I2"/>
  </mergeCells>
  <printOptions/>
  <pageMargins left="0.75" right="0.75" top="1" bottom="1" header="0.5" footer="0.5"/>
  <pageSetup fitToHeight="1" fitToWidth="1" orientation="landscape" scale="50" r:id="rId3"/>
  <headerFooter alignWithMargins="0">
    <oddHeader>&amp;C&amp;F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F4">
      <selection activeCell="K33" sqref="K33"/>
    </sheetView>
  </sheetViews>
  <sheetFormatPr defaultColWidth="11.00390625" defaultRowHeight="12.75"/>
  <cols>
    <col min="1" max="1" width="33.50390625" style="8" customWidth="1"/>
    <col min="2" max="2" width="10.625" style="4" customWidth="1"/>
    <col min="3" max="3" width="13.125" style="38" bestFit="1" customWidth="1"/>
    <col min="4" max="4" width="13.125" style="13" bestFit="1" customWidth="1"/>
    <col min="5" max="5" width="10.75390625" style="38" customWidth="1"/>
    <col min="6" max="6" width="11.00390625" style="0" customWidth="1"/>
    <col min="7" max="7" width="10.75390625" style="38" customWidth="1"/>
    <col min="8" max="8" width="11.00390625" style="0" customWidth="1"/>
    <col min="9" max="9" width="14.875" style="0" customWidth="1"/>
    <col min="10" max="11" width="16.75390625" style="0" customWidth="1"/>
    <col min="12" max="12" width="10.75390625" style="4" customWidth="1"/>
    <col min="13" max="14" width="13.00390625" style="0" customWidth="1"/>
  </cols>
  <sheetData>
    <row r="1" ht="12.75">
      <c r="A1" s="37" t="s">
        <v>53</v>
      </c>
    </row>
    <row r="2" spans="3:12" ht="12.75">
      <c r="C2" s="92" t="s">
        <v>127</v>
      </c>
      <c r="D2" s="92"/>
      <c r="E2" s="92"/>
      <c r="F2" s="92"/>
      <c r="G2" s="92"/>
      <c r="H2" s="92"/>
      <c r="I2" s="92"/>
      <c r="J2" s="71"/>
      <c r="K2" s="71"/>
      <c r="L2" s="68"/>
    </row>
    <row r="3" spans="1:12" s="24" customFormat="1" ht="25.5">
      <c r="A3" s="31"/>
      <c r="B3" s="24" t="s">
        <v>18</v>
      </c>
      <c r="C3" s="25" t="s">
        <v>0</v>
      </c>
      <c r="D3" s="25" t="s">
        <v>128</v>
      </c>
      <c r="E3" s="25" t="s">
        <v>20</v>
      </c>
      <c r="F3" s="24" t="s">
        <v>1</v>
      </c>
      <c r="G3" s="25" t="s">
        <v>2</v>
      </c>
      <c r="H3" s="24" t="s">
        <v>87</v>
      </c>
      <c r="I3" s="24" t="s">
        <v>113</v>
      </c>
      <c r="J3" s="24" t="s">
        <v>143</v>
      </c>
      <c r="K3" s="88" t="s">
        <v>150</v>
      </c>
      <c r="L3" s="67"/>
    </row>
    <row r="4" ht="12.75"/>
    <row r="5" spans="1:12" ht="12.75">
      <c r="A5" s="8" t="s">
        <v>12</v>
      </c>
      <c r="B5" s="4">
        <v>1</v>
      </c>
      <c r="C5" s="38">
        <v>1190000</v>
      </c>
      <c r="E5" s="38">
        <v>8000</v>
      </c>
      <c r="J5">
        <v>3</v>
      </c>
      <c r="L5" s="26"/>
    </row>
    <row r="6" ht="12.75"/>
    <row r="7" spans="1:11" ht="12.75">
      <c r="A7" s="8" t="s">
        <v>14</v>
      </c>
      <c r="B7" s="4">
        <v>0</v>
      </c>
      <c r="C7" s="38">
        <f>$B7*SEI!B9</f>
        <v>0</v>
      </c>
      <c r="D7" s="38">
        <f>$B7*SEI!C9</f>
        <v>0</v>
      </c>
      <c r="E7" s="38">
        <f>$B7*SEI!D9</f>
        <v>0</v>
      </c>
      <c r="F7" s="38">
        <f>$B7*SEI!E9</f>
        <v>0</v>
      </c>
      <c r="G7" s="38">
        <f>$B7*SEI!F9</f>
        <v>0</v>
      </c>
      <c r="H7" s="38">
        <f>$B7*SEI!G9</f>
        <v>0</v>
      </c>
      <c r="I7" s="38">
        <f>$B7*SEI!H9</f>
        <v>0</v>
      </c>
      <c r="J7" s="38"/>
      <c r="K7" s="38"/>
    </row>
    <row r="8" spans="4:9" ht="12.75">
      <c r="D8" s="38"/>
      <c r="F8" s="38"/>
      <c r="H8" s="38"/>
      <c r="I8" s="38"/>
    </row>
    <row r="9" spans="1:11" ht="12.75">
      <c r="A9" s="8" t="s">
        <v>15</v>
      </c>
      <c r="B9" s="4">
        <v>1</v>
      </c>
      <c r="C9" s="38">
        <f>$B9*SEI!B22</f>
        <v>54977.871437821384</v>
      </c>
      <c r="D9" s="38">
        <f>$B9*SEI!C22</f>
        <v>1083868.8</v>
      </c>
      <c r="E9" s="38">
        <f>$B9*SEI!D22</f>
        <v>0</v>
      </c>
      <c r="F9" s="38">
        <f>$B9*SEI!E22</f>
        <v>0</v>
      </c>
      <c r="G9" s="38">
        <f>$B9*SEI!F22</f>
        <v>5806.4400000000005</v>
      </c>
      <c r="H9" s="38">
        <f>$B9*SEI!G22</f>
        <v>0</v>
      </c>
      <c r="I9" s="38">
        <f>$B9*SEI!H22</f>
        <v>0</v>
      </c>
      <c r="J9" s="38"/>
      <c r="K9" s="38"/>
    </row>
    <row r="10" spans="4:9" ht="12.75">
      <c r="D10" s="38"/>
      <c r="F10" s="38"/>
      <c r="H10" s="38"/>
      <c r="I10" s="38"/>
    </row>
    <row r="11" spans="1:11" ht="12.75">
      <c r="A11" s="8" t="s">
        <v>36</v>
      </c>
      <c r="B11" s="4">
        <v>1</v>
      </c>
      <c r="C11" s="38">
        <f>$B11*SUS!E15</f>
        <v>41006.3696</v>
      </c>
      <c r="D11" s="38">
        <f>$B11*SUS!F15</f>
        <v>11867.7182</v>
      </c>
      <c r="E11" s="38">
        <f>$B11*SUS!G15</f>
        <v>256.9264</v>
      </c>
      <c r="F11" s="38">
        <f>$B11*SUS!H15</f>
        <v>1019.3528</v>
      </c>
      <c r="G11" s="38">
        <f>$B11*SUS!I15</f>
        <v>0</v>
      </c>
      <c r="H11" s="38">
        <f>$B11*SUS!J15</f>
        <v>838.9052192833605</v>
      </c>
      <c r="I11" s="38">
        <f>$B11*SUS!K15</f>
        <v>0</v>
      </c>
      <c r="J11" s="38"/>
      <c r="K11" s="38"/>
    </row>
    <row r="12" spans="4:9" ht="12.75">
      <c r="D12" s="38"/>
      <c r="F12" s="38"/>
      <c r="H12" s="38"/>
      <c r="I12" s="38"/>
    </row>
    <row r="13" spans="1:9" ht="12.75">
      <c r="A13" s="8" t="s">
        <v>16</v>
      </c>
      <c r="D13" s="38"/>
      <c r="F13" s="38"/>
      <c r="H13" s="38"/>
      <c r="I13" s="38"/>
    </row>
    <row r="14" spans="1:11" ht="12.75">
      <c r="A14" s="32" t="s">
        <v>22</v>
      </c>
      <c r="B14" s="4">
        <v>0</v>
      </c>
      <c r="C14" s="38">
        <f>$B14*SUS!E23</f>
        <v>0</v>
      </c>
      <c r="D14" s="38">
        <f>$B14*SUS!F23</f>
        <v>0</v>
      </c>
      <c r="E14" s="38">
        <f>$B14*SUS!G23</f>
        <v>0</v>
      </c>
      <c r="F14" s="38">
        <f>$B14*SUS!H23</f>
        <v>0</v>
      </c>
      <c r="G14" s="38">
        <f>$B14*SUS!I23</f>
        <v>0</v>
      </c>
      <c r="H14" s="38">
        <f>$B14*SUS!J23</f>
        <v>0</v>
      </c>
      <c r="I14" s="38">
        <f>$B14*SUS!K23</f>
        <v>0</v>
      </c>
      <c r="J14" s="38"/>
      <c r="K14" s="38"/>
    </row>
    <row r="15" spans="1:11" ht="12.75">
      <c r="A15" s="32" t="s">
        <v>23</v>
      </c>
      <c r="B15" s="4">
        <v>0</v>
      </c>
      <c r="C15" s="38">
        <f>$B15*SUS!E31</f>
        <v>0</v>
      </c>
      <c r="D15" s="38">
        <f>$B15*SUS!F31</f>
        <v>0</v>
      </c>
      <c r="E15" s="38">
        <f>$B15*SUS!G31</f>
        <v>0</v>
      </c>
      <c r="F15" s="38">
        <f>$B15*SUS!H31</f>
        <v>0</v>
      </c>
      <c r="G15" s="38">
        <f>$B15*SUS!I31</f>
        <v>0</v>
      </c>
      <c r="H15" s="38">
        <f>$B15*SUS!J31</f>
        <v>0</v>
      </c>
      <c r="I15" s="38">
        <f>$B15*SUS!K31</f>
        <v>0</v>
      </c>
      <c r="J15" s="38"/>
      <c r="K15" s="38"/>
    </row>
    <row r="16" spans="1:11" ht="12.75">
      <c r="A16" s="32" t="s">
        <v>24</v>
      </c>
      <c r="B16" s="4">
        <v>0</v>
      </c>
      <c r="C16" s="38">
        <f>$B16*SUS!E39</f>
        <v>0</v>
      </c>
      <c r="D16" s="38">
        <f>$B16*SUS!F39</f>
        <v>0</v>
      </c>
      <c r="E16" s="38">
        <f>$B16*SUS!G39</f>
        <v>0</v>
      </c>
      <c r="F16" s="38">
        <f>$B16*SUS!H39</f>
        <v>0</v>
      </c>
      <c r="G16" s="38">
        <f>$B16*SUS!I39</f>
        <v>0</v>
      </c>
      <c r="H16" s="38">
        <f>$B16*SUS!J39</f>
        <v>0</v>
      </c>
      <c r="I16" s="38">
        <f>$B16*SUS!K39</f>
        <v>0</v>
      </c>
      <c r="J16" s="38"/>
      <c r="K16" s="38"/>
    </row>
    <row r="17" spans="1:11" ht="12.75">
      <c r="A17" s="32" t="s">
        <v>26</v>
      </c>
      <c r="B17" s="4">
        <v>0</v>
      </c>
      <c r="C17" s="38">
        <f>$B17*SUS!E47</f>
        <v>0</v>
      </c>
      <c r="D17" s="38">
        <f>$B17*SUS!F47</f>
        <v>0</v>
      </c>
      <c r="E17" s="38">
        <f>$B17*SUS!G47</f>
        <v>0</v>
      </c>
      <c r="F17" s="38">
        <f>$B17*SUS!H47</f>
        <v>0</v>
      </c>
      <c r="G17" s="38">
        <f>$B17*SUS!I47</f>
        <v>0</v>
      </c>
      <c r="H17" s="38">
        <f>$B17*SUS!J47</f>
        <v>0</v>
      </c>
      <c r="I17" s="38">
        <f>$B17*SUS!K47</f>
        <v>0</v>
      </c>
      <c r="J17" s="38"/>
      <c r="K17" s="38"/>
    </row>
    <row r="18" spans="1:11" ht="12.75">
      <c r="A18" s="32" t="s">
        <v>25</v>
      </c>
      <c r="B18" s="4">
        <v>0</v>
      </c>
      <c r="C18" s="38">
        <f>$B18*SUS!E55</f>
        <v>0</v>
      </c>
      <c r="D18" s="38">
        <f>$B18*SUS!F55</f>
        <v>0</v>
      </c>
      <c r="E18" s="38">
        <f>$B18*SUS!G55</f>
        <v>0</v>
      </c>
      <c r="F18" s="38">
        <f>$B18*SUS!H55</f>
        <v>0</v>
      </c>
      <c r="G18" s="38">
        <f>$B18*SUS!I55</f>
        <v>0</v>
      </c>
      <c r="H18" s="38">
        <f>$B18*SUS!J55</f>
        <v>0</v>
      </c>
      <c r="I18" s="38">
        <f>$B18*SUS!K55</f>
        <v>0</v>
      </c>
      <c r="J18" s="38"/>
      <c r="K18" s="38"/>
    </row>
    <row r="20" ht="12.75">
      <c r="A20" s="8" t="s">
        <v>17</v>
      </c>
    </row>
    <row r="21" spans="1:11" ht="12.75">
      <c r="A21" s="32" t="s">
        <v>112</v>
      </c>
      <c r="B21" s="4">
        <v>1</v>
      </c>
      <c r="C21" s="38">
        <f>$B21*AOS!E5</f>
        <v>0</v>
      </c>
      <c r="D21" s="38">
        <f>$B21*AOS!F5</f>
        <v>0</v>
      </c>
      <c r="E21" s="38">
        <f>$B21*AOS!G5</f>
        <v>0</v>
      </c>
      <c r="F21" s="38">
        <f>$B21*AOS!H5</f>
        <v>0</v>
      </c>
      <c r="G21" s="38">
        <f>$B21*AOS!I5</f>
        <v>0</v>
      </c>
      <c r="H21" s="38">
        <f>$B21*AOS!J5</f>
        <v>0</v>
      </c>
      <c r="I21" s="38">
        <f>$B21*AOS!K5</f>
        <v>207857.6488</v>
      </c>
      <c r="J21" s="38"/>
      <c r="K21" s="38"/>
    </row>
    <row r="22" spans="1:11" ht="12.75">
      <c r="A22" s="32" t="s">
        <v>116</v>
      </c>
      <c r="B22" s="4">
        <v>2</v>
      </c>
      <c r="C22" s="38">
        <f>$B22*AOS!E8</f>
        <v>0</v>
      </c>
      <c r="D22" s="38">
        <f>$B22*AOS!F8</f>
        <v>139428</v>
      </c>
      <c r="E22" s="38">
        <f>$B22*AOS!G8</f>
        <v>0</v>
      </c>
      <c r="F22" s="38">
        <f>$B22*AOS!H8</f>
        <v>0</v>
      </c>
      <c r="G22" s="38">
        <f>$B22*AOS!I8</f>
        <v>0</v>
      </c>
      <c r="H22" s="38">
        <f>$B22*AOS!J8</f>
        <v>0</v>
      </c>
      <c r="I22" s="38">
        <f>$B22*AOS!K8</f>
        <v>78568</v>
      </c>
      <c r="J22" s="38"/>
      <c r="K22" s="38"/>
    </row>
    <row r="23" spans="1:11" ht="12.75">
      <c r="A23" s="32" t="s">
        <v>126</v>
      </c>
      <c r="B23" s="4">
        <v>2</v>
      </c>
      <c r="C23" s="38">
        <f>$B23*AOS!E11</f>
        <v>0</v>
      </c>
      <c r="D23" s="38">
        <f>$B23*AOS!F11</f>
        <v>0</v>
      </c>
      <c r="E23" s="38">
        <f>$B23*AOS!G11</f>
        <v>0</v>
      </c>
      <c r="F23" s="38">
        <f>$B23*AOS!H11</f>
        <v>0</v>
      </c>
      <c r="G23" s="38">
        <f>$B23*AOS!I11</f>
        <v>0</v>
      </c>
      <c r="H23" s="38">
        <f>$B23*AOS!J11</f>
        <v>0</v>
      </c>
      <c r="I23" s="38">
        <f>$B23*AOS!K11</f>
        <v>0</v>
      </c>
      <c r="J23" s="38"/>
      <c r="K23" s="38"/>
    </row>
    <row r="24" spans="1:11" ht="12.75">
      <c r="A24" s="32" t="s">
        <v>118</v>
      </c>
      <c r="B24" s="4">
        <v>0</v>
      </c>
      <c r="C24" s="38">
        <f>$B24*AOS!E14</f>
        <v>0</v>
      </c>
      <c r="D24" s="38">
        <f>$B24*AOS!F14</f>
        <v>0</v>
      </c>
      <c r="E24" s="38">
        <f>$B24*AOS!G14</f>
        <v>0</v>
      </c>
      <c r="F24" s="38">
        <f>$B24*AOS!H14</f>
        <v>0</v>
      </c>
      <c r="G24" s="38">
        <f>$B24*AOS!I14</f>
        <v>0</v>
      </c>
      <c r="H24" s="38">
        <f>$B24*AOS!J14</f>
        <v>0</v>
      </c>
      <c r="I24" s="38">
        <f>$B24*AOS!K14</f>
        <v>0</v>
      </c>
      <c r="J24" s="38"/>
      <c r="K24" s="38"/>
    </row>
    <row r="25" spans="1:11" ht="12.75">
      <c r="A25" s="32" t="s">
        <v>119</v>
      </c>
      <c r="B25" s="4">
        <v>0</v>
      </c>
      <c r="C25" s="38">
        <f>$B25*AOS!E17</f>
        <v>0</v>
      </c>
      <c r="D25" s="38">
        <f>$B25*AOS!F17</f>
        <v>0</v>
      </c>
      <c r="E25" s="38">
        <f>$B25*AOS!G17</f>
        <v>0</v>
      </c>
      <c r="F25" s="38">
        <f>$B25*AOS!H17</f>
        <v>0</v>
      </c>
      <c r="G25" s="38">
        <f>$B25*AOS!I17</f>
        <v>0</v>
      </c>
      <c r="H25" s="38">
        <f>$B25*AOS!J17</f>
        <v>0</v>
      </c>
      <c r="I25" s="38">
        <f>$B25*AOS!K17</f>
        <v>0</v>
      </c>
      <c r="J25" s="38"/>
      <c r="K25" s="38"/>
    </row>
    <row r="26" spans="1:11" ht="12.75">
      <c r="A26" s="32" t="s">
        <v>120</v>
      </c>
      <c r="B26" s="4">
        <v>0</v>
      </c>
      <c r="C26" s="38">
        <f>$B26*AOS!E20</f>
        <v>0</v>
      </c>
      <c r="D26" s="38">
        <f>$B26*AOS!F20</f>
        <v>0</v>
      </c>
      <c r="E26" s="38">
        <f>$B26*AOS!G20</f>
        <v>0</v>
      </c>
      <c r="F26" s="38">
        <f>$B26*AOS!H20</f>
        <v>0</v>
      </c>
      <c r="G26" s="38">
        <f>$B26*AOS!I20</f>
        <v>0</v>
      </c>
      <c r="H26" s="38">
        <f>$B26*AOS!J20</f>
        <v>0</v>
      </c>
      <c r="I26" s="38">
        <f>$B26*AOS!K20</f>
        <v>0</v>
      </c>
      <c r="J26" s="38"/>
      <c r="K26" s="38"/>
    </row>
    <row r="27" spans="1:11" ht="12.75">
      <c r="A27" s="32" t="s">
        <v>121</v>
      </c>
      <c r="B27" s="4">
        <v>0</v>
      </c>
      <c r="C27" s="38">
        <f>$B27*AOS!E28</f>
        <v>0</v>
      </c>
      <c r="D27" s="38">
        <f>$B27*AOS!F28</f>
        <v>0</v>
      </c>
      <c r="E27" s="38">
        <f>$B27*AOS!G28</f>
        <v>0</v>
      </c>
      <c r="F27" s="38">
        <f>$B27*AOS!H28</f>
        <v>0</v>
      </c>
      <c r="G27" s="38">
        <f>$B27*AOS!I28</f>
        <v>0</v>
      </c>
      <c r="H27" s="38">
        <f>$B27*AOS!J28</f>
        <v>0</v>
      </c>
      <c r="I27" s="38">
        <f>$B27*AOS!K28</f>
        <v>0</v>
      </c>
      <c r="J27" s="38"/>
      <c r="K27" s="38"/>
    </row>
    <row r="29" spans="1:11" ht="12.75">
      <c r="A29" s="8" t="s">
        <v>19</v>
      </c>
      <c r="B29" s="4">
        <v>1</v>
      </c>
      <c r="C29" s="38">
        <f>$B29*WIRE!B8</f>
        <v>22212.27229090909</v>
      </c>
      <c r="D29" s="38">
        <f>$B29*WIRE!C8</f>
        <v>0</v>
      </c>
      <c r="E29" s="38">
        <f>$B29*WIRE!D8</f>
        <v>0</v>
      </c>
      <c r="F29" s="38">
        <f>$B29*WIRE!E8</f>
        <v>18665.065309090907</v>
      </c>
      <c r="G29" s="38">
        <f>$B29*WIRE!F8</f>
        <v>89102.46109090908</v>
      </c>
      <c r="H29" s="38">
        <f>$B29*WIRE!G8</f>
        <v>0</v>
      </c>
      <c r="I29" s="38">
        <f>$B29*WIRE!H8</f>
        <v>0</v>
      </c>
      <c r="J29" s="38"/>
      <c r="K29" s="38"/>
    </row>
    <row r="32" spans="1:12" s="23" customFormat="1" ht="12.75">
      <c r="A32" s="89" t="s">
        <v>152</v>
      </c>
      <c r="B32" s="21"/>
      <c r="C32" s="39">
        <f aca="true" t="shared" si="0" ref="C32:J32">SUM(C5:C31)</f>
        <v>1308196.5133287306</v>
      </c>
      <c r="D32" s="39">
        <f t="shared" si="0"/>
        <v>1235164.5182</v>
      </c>
      <c r="E32" s="39">
        <f t="shared" si="0"/>
        <v>8256.9264</v>
      </c>
      <c r="F32" s="39">
        <f t="shared" si="0"/>
        <v>19684.418109090908</v>
      </c>
      <c r="G32" s="39">
        <f t="shared" si="0"/>
        <v>94908.90109090909</v>
      </c>
      <c r="H32" s="39">
        <f t="shared" si="0"/>
        <v>838.9052192833605</v>
      </c>
      <c r="I32" s="39">
        <f t="shared" si="0"/>
        <v>286425.64879999997</v>
      </c>
      <c r="J32" s="39">
        <f t="shared" si="0"/>
        <v>3</v>
      </c>
      <c r="K32" s="39">
        <v>3.6</v>
      </c>
      <c r="L32" s="21"/>
    </row>
    <row r="35" spans="1:15" s="7" customFormat="1" ht="12.75">
      <c r="A35" s="16"/>
      <c r="B35" s="34"/>
      <c r="C35" s="40"/>
      <c r="D35" s="35"/>
      <c r="E35" s="40"/>
      <c r="G35" s="40"/>
      <c r="J35" s="72"/>
      <c r="K35" s="72"/>
      <c r="M35" s="34"/>
      <c r="N35" s="36" t="s">
        <v>49</v>
      </c>
      <c r="O35" s="36" t="s">
        <v>50</v>
      </c>
    </row>
    <row r="36" spans="1:15" ht="25.5">
      <c r="A36" s="8" t="s">
        <v>44</v>
      </c>
      <c r="B36" s="2" t="s">
        <v>77</v>
      </c>
      <c r="C36" s="3" t="s">
        <v>43</v>
      </c>
      <c r="D36" s="3" t="s">
        <v>10</v>
      </c>
      <c r="E36" s="3" t="s">
        <v>20</v>
      </c>
      <c r="F36" s="3" t="s">
        <v>1</v>
      </c>
      <c r="G36" s="3" t="s">
        <v>2</v>
      </c>
      <c r="H36" s="3" t="s">
        <v>3</v>
      </c>
      <c r="I36" s="12" t="s">
        <v>113</v>
      </c>
      <c r="J36" s="12" t="s">
        <v>143</v>
      </c>
      <c r="K36" s="88" t="s">
        <v>150</v>
      </c>
      <c r="L36" s="12" t="s">
        <v>45</v>
      </c>
      <c r="M36" s="12" t="s">
        <v>48</v>
      </c>
      <c r="N36" s="3" t="s">
        <v>46</v>
      </c>
      <c r="O36" s="3" t="s">
        <v>46</v>
      </c>
    </row>
    <row r="37" spans="1:15" s="27" customFormat="1" ht="12.75">
      <c r="A37" s="10" t="s">
        <v>38</v>
      </c>
      <c r="B37" s="29">
        <v>3.8E-06</v>
      </c>
      <c r="C37" s="29">
        <f>C$32*Summary!C11</f>
        <v>1.3081965133287306E-05</v>
      </c>
      <c r="D37" s="29">
        <f>D$32*Summary!D11</f>
        <v>1.2351645182E-05</v>
      </c>
      <c r="E37" s="29">
        <f>E$32*Summary!E11</f>
        <v>8.256926400000001E-07</v>
      </c>
      <c r="F37" s="29">
        <f>F$32*Summary!F11</f>
        <v>1.9684418109090907E-06</v>
      </c>
      <c r="G37" s="29">
        <f>G$32*Summary!G11</f>
        <v>9.490890109090908E-06</v>
      </c>
      <c r="H37" s="29">
        <f>H$32*Summary!H11</f>
        <v>8.389052192833604E-08</v>
      </c>
      <c r="I37" s="29">
        <f>I$32*Summary!I11</f>
        <v>1.9763369767199996E-07</v>
      </c>
      <c r="J37" s="29">
        <f>J$32*Summary!J11</f>
        <v>0</v>
      </c>
      <c r="K37" s="29">
        <f>K$32*Summary!K11</f>
        <v>4.396919786096257E-12</v>
      </c>
      <c r="L37" s="28">
        <f>SUM(B37:K37)</f>
        <v>4.180016349180742E-05</v>
      </c>
      <c r="M37" s="4">
        <f>1*4200</f>
        <v>4200</v>
      </c>
      <c r="N37" s="28">
        <f>L37/M37</f>
        <v>9.952419879001767E-09</v>
      </c>
      <c r="O37" s="28">
        <f>L37/M37</f>
        <v>9.952419879001767E-09</v>
      </c>
    </row>
    <row r="38" spans="1:15" ht="12.75">
      <c r="A38" s="10" t="s">
        <v>37</v>
      </c>
      <c r="B38" s="27"/>
      <c r="C38" s="29">
        <f>C$32*Summary!C12</f>
        <v>6.540982566643653E-05</v>
      </c>
      <c r="D38" s="29">
        <f>D$32*Summary!D12</f>
        <v>6.175822591E-05</v>
      </c>
      <c r="E38" s="29">
        <f>E$32*Summary!E12</f>
        <v>2.47707792E-05</v>
      </c>
      <c r="F38" s="29">
        <f>F$32*Summary!F12</f>
        <v>5.905325432727272E-05</v>
      </c>
      <c r="G38" s="29">
        <f>G$32*Summary!G12</f>
        <v>0.0002847267032727273</v>
      </c>
      <c r="H38" s="29">
        <f>H$32*Summary!H12</f>
        <v>2.5167156578500813E-06</v>
      </c>
      <c r="I38" s="29">
        <f>I$32*Summary!I12</f>
        <v>1.4321282439999998E-08</v>
      </c>
      <c r="J38" s="29">
        <f>J$32*Summary!J12</f>
        <v>0</v>
      </c>
      <c r="K38" s="29">
        <f>K$32*Summary!K12</f>
        <v>0</v>
      </c>
      <c r="L38" s="28">
        <f aca="true" t="shared" si="1" ref="L38:L43">SUM(B38:K38)</f>
        <v>0.0004982498253167266</v>
      </c>
      <c r="M38" s="4">
        <f>1*142000</f>
        <v>142000</v>
      </c>
      <c r="N38" s="28">
        <f>L38/M38</f>
        <v>3.5088015867375115E-09</v>
      </c>
      <c r="O38" s="28"/>
    </row>
    <row r="39" spans="1:15" ht="12.75">
      <c r="A39" s="10" t="s">
        <v>42</v>
      </c>
      <c r="B39" s="27"/>
      <c r="C39" s="29">
        <f>C$32*Summary!C13</f>
        <v>6.540982566643653E-06</v>
      </c>
      <c r="D39" s="29">
        <f>D$32*Summary!D13</f>
        <v>6.175822591E-06</v>
      </c>
      <c r="E39" s="29">
        <f>E$32*Summary!E13</f>
        <v>8.256926400000001E-06</v>
      </c>
      <c r="F39" s="29">
        <f>F$32*Summary!F13</f>
        <v>1.9684418109090908E-05</v>
      </c>
      <c r="G39" s="29">
        <f>G$32*Summary!G13</f>
        <v>9.490890109090909E-05</v>
      </c>
      <c r="H39" s="29">
        <f>H$32*Summary!H13</f>
        <v>8.389052192833605E-07</v>
      </c>
      <c r="I39" s="29">
        <f>I$32*Summary!I13</f>
        <v>1.4321282439999999E-09</v>
      </c>
      <c r="J39" s="29">
        <f>J$32*Summary!J13</f>
        <v>0</v>
      </c>
      <c r="K39" s="29">
        <f>K$32*Summary!K13</f>
        <v>8.026524064171123E-12</v>
      </c>
      <c r="L39" s="28">
        <f t="shared" si="1"/>
        <v>0.00013640739613169508</v>
      </c>
      <c r="M39" s="4">
        <f>1*142000</f>
        <v>142000</v>
      </c>
      <c r="N39" s="28"/>
      <c r="O39" s="28">
        <f>L39/M39</f>
        <v>9.606154657161625E-10</v>
      </c>
    </row>
    <row r="40" spans="1:15" ht="12.75">
      <c r="A40" s="10" t="s">
        <v>39</v>
      </c>
      <c r="B40" s="27"/>
      <c r="C40" s="29">
        <f>C$32*Summary!C14</f>
        <v>0</v>
      </c>
      <c r="D40" s="29">
        <f>D$32*Summary!D14</f>
        <v>0</v>
      </c>
      <c r="E40" s="29">
        <f>E$32*Summary!E14</f>
        <v>0</v>
      </c>
      <c r="F40" s="29">
        <f>F$32*Summary!F14</f>
        <v>0</v>
      </c>
      <c r="G40" s="29">
        <f>G$32*Summary!G14</f>
        <v>0</v>
      </c>
      <c r="H40" s="29">
        <f>H$32*Summary!H14</f>
        <v>0</v>
      </c>
      <c r="I40" s="29">
        <f>I$32*Summary!I14</f>
        <v>6.874215571199999E-09</v>
      </c>
      <c r="J40" s="29">
        <f>J$32*Summary!J14</f>
        <v>2.9752066115702483E-06</v>
      </c>
      <c r="K40" s="29">
        <f>K$32*Summary!K14</f>
        <v>7.521711229946524E-11</v>
      </c>
      <c r="L40" s="28">
        <f t="shared" si="1"/>
        <v>2.982156044253748E-06</v>
      </c>
      <c r="M40" s="4">
        <f>1*2000</f>
        <v>2000</v>
      </c>
      <c r="N40" s="28">
        <f>L40/M40</f>
        <v>1.491078022126874E-09</v>
      </c>
      <c r="O40" s="28">
        <f>L40/M40</f>
        <v>1.491078022126874E-09</v>
      </c>
    </row>
    <row r="41" spans="1:15" ht="12.75">
      <c r="A41" s="10" t="s">
        <v>40</v>
      </c>
      <c r="B41" s="27"/>
      <c r="C41" s="29">
        <f>C$32*Summary!C15</f>
        <v>0</v>
      </c>
      <c r="D41" s="29">
        <f>D$32*Summary!D15</f>
        <v>0</v>
      </c>
      <c r="E41" s="29">
        <f>E$32*Summary!E15</f>
        <v>0</v>
      </c>
      <c r="F41" s="29">
        <f>F$32*Summary!F15</f>
        <v>0</v>
      </c>
      <c r="G41" s="29">
        <f>G$32*Summary!G15</f>
        <v>0</v>
      </c>
      <c r="H41" s="29">
        <f>H$32*Summary!H15</f>
        <v>0</v>
      </c>
      <c r="I41" s="29">
        <f>I$32*Summary!I15</f>
        <v>1.60398363328E-09</v>
      </c>
      <c r="J41" s="29">
        <f>J$32*Summary!J15</f>
        <v>0</v>
      </c>
      <c r="K41" s="29">
        <f>K$32*Summary!K15</f>
        <v>0</v>
      </c>
      <c r="L41" s="28">
        <f t="shared" si="1"/>
        <v>1.60398363328E-09</v>
      </c>
      <c r="M41" s="4">
        <f>1*2000</f>
        <v>2000</v>
      </c>
      <c r="N41" s="28">
        <f>L41/M41</f>
        <v>8.0199181664E-13</v>
      </c>
      <c r="O41" s="28">
        <f>L41/M41</f>
        <v>8.0199181664E-13</v>
      </c>
    </row>
    <row r="42" spans="1:15" ht="12.75">
      <c r="A42" s="10" t="s">
        <v>41</v>
      </c>
      <c r="B42" s="27"/>
      <c r="C42" s="29">
        <f>C$32*Summary!C16</f>
        <v>0</v>
      </c>
      <c r="D42" s="29">
        <f>D$32*Summary!D16</f>
        <v>0</v>
      </c>
      <c r="E42" s="29">
        <f>E$32*Summary!E16</f>
        <v>0</v>
      </c>
      <c r="F42" s="29">
        <f>F$32*Summary!F16</f>
        <v>0</v>
      </c>
      <c r="G42" s="29">
        <f>G$32*Summary!G16</f>
        <v>0</v>
      </c>
      <c r="H42" s="29">
        <f>H$32*Summary!H16</f>
        <v>0</v>
      </c>
      <c r="I42" s="29">
        <f>I$32*Summary!I16</f>
        <v>1.3175579844799997E-09</v>
      </c>
      <c r="J42" s="29">
        <f>J$32*Summary!J16</f>
        <v>0</v>
      </c>
      <c r="K42" s="29">
        <f>K$32*Summary!K16</f>
        <v>1.1156363636363636E-10</v>
      </c>
      <c r="L42" s="28">
        <f t="shared" si="1"/>
        <v>1.429121620843636E-09</v>
      </c>
      <c r="M42" s="4">
        <f>1*2000</f>
        <v>2000</v>
      </c>
      <c r="N42" s="28">
        <f>L42/M42</f>
        <v>7.14560810421818E-13</v>
      </c>
      <c r="O42" s="28">
        <f>L42/M42</f>
        <v>7.14560810421818E-13</v>
      </c>
    </row>
    <row r="43" spans="1:16" ht="12.75">
      <c r="A43" s="90" t="s">
        <v>141</v>
      </c>
      <c r="C43" s="29">
        <f>C$32*Summary!C17</f>
        <v>0</v>
      </c>
      <c r="D43" s="29">
        <f>D$32*Summary!D17</f>
        <v>0</v>
      </c>
      <c r="E43" s="29">
        <f>E$32*Summary!E17</f>
        <v>0</v>
      </c>
      <c r="F43" s="29">
        <f>F$32*Summary!F17</f>
        <v>0</v>
      </c>
      <c r="G43" s="29">
        <f>G$32*Summary!G17</f>
        <v>0</v>
      </c>
      <c r="H43" s="29">
        <f>H$32*Summary!H17</f>
        <v>0</v>
      </c>
      <c r="I43" s="29">
        <f>I$32*Summary!I17</f>
        <v>3.4371077855999994E-11</v>
      </c>
      <c r="J43" s="29">
        <f>J$32*Summary!J17</f>
        <v>0</v>
      </c>
      <c r="K43" s="29">
        <f>K$32*Summary!K17</f>
        <v>1.8073813903743318E-12</v>
      </c>
      <c r="L43" s="28">
        <f t="shared" si="1"/>
        <v>3.6178459246374324E-11</v>
      </c>
      <c r="M43" s="4">
        <v>1700</v>
      </c>
      <c r="N43" s="28">
        <f>L43/M43</f>
        <v>2.128144661551431E-14</v>
      </c>
      <c r="O43" s="28">
        <f>L43/M43</f>
        <v>2.128144661551431E-14</v>
      </c>
      <c r="P43" s="28"/>
    </row>
    <row r="44" spans="12:13" ht="12.75">
      <c r="L44"/>
      <c r="M44" s="4"/>
    </row>
    <row r="45" spans="1:15" s="23" customFormat="1" ht="12.75">
      <c r="A45" s="33" t="s">
        <v>47</v>
      </c>
      <c r="B45" s="21"/>
      <c r="C45" s="39"/>
      <c r="D45" s="30"/>
      <c r="E45" s="39"/>
      <c r="G45" s="39"/>
      <c r="M45" s="21"/>
      <c r="N45" s="41">
        <f>SUM(N37:N44)</f>
        <v>1.495383732193983E-08</v>
      </c>
      <c r="O45" s="41">
        <f>SUM(O37:O44)</f>
        <v>1.2405651200918482E-08</v>
      </c>
    </row>
    <row r="47" spans="1:12" s="7" customFormat="1" ht="12.75">
      <c r="A47" s="16"/>
      <c r="B47" s="34"/>
      <c r="C47" s="40"/>
      <c r="D47" s="35"/>
      <c r="E47" s="40"/>
      <c r="G47" s="40"/>
      <c r="L47" s="34"/>
    </row>
    <row r="48" spans="14:15" ht="12.75">
      <c r="N48">
        <v>1.3466118297448094E-08</v>
      </c>
      <c r="O48">
        <v>1.0917932119901928E-08</v>
      </c>
    </row>
  </sheetData>
  <sheetProtection/>
  <mergeCells count="1">
    <mergeCell ref="C2:I2"/>
  </mergeCells>
  <printOptions/>
  <pageMargins left="0.75" right="0.75" top="1" bottom="1" header="0.5" footer="0.5"/>
  <pageSetup fitToHeight="1" fitToWidth="1" orientation="landscape" scale="53" r:id="rId3"/>
  <headerFooter alignWithMargins="0">
    <oddHeader>&amp;C&amp;F</oddHead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E5">
      <selection activeCell="K33" sqref="K33"/>
    </sheetView>
  </sheetViews>
  <sheetFormatPr defaultColWidth="11.00390625" defaultRowHeight="12.75"/>
  <cols>
    <col min="1" max="1" width="33.75390625" style="8" customWidth="1"/>
    <col min="2" max="2" width="10.625" style="4" customWidth="1"/>
    <col min="3" max="3" width="13.125" style="1" bestFit="1" customWidth="1"/>
    <col min="4" max="4" width="13.125" style="13" bestFit="1" customWidth="1"/>
    <col min="5" max="5" width="10.75390625" style="1" customWidth="1"/>
    <col min="6" max="6" width="11.00390625" style="0" customWidth="1"/>
    <col min="7" max="7" width="10.75390625" style="1" customWidth="1"/>
    <col min="8" max="8" width="11.00390625" style="0" customWidth="1"/>
    <col min="9" max="9" width="14.875" style="0" customWidth="1"/>
    <col min="10" max="11" width="16.75390625" style="0" customWidth="1"/>
    <col min="12" max="12" width="11.00390625" style="0" customWidth="1"/>
    <col min="13" max="13" width="10.75390625" style="4" customWidth="1"/>
  </cols>
  <sheetData>
    <row r="1" ht="12.75">
      <c r="A1" s="37" t="s">
        <v>56</v>
      </c>
    </row>
    <row r="2" spans="3:11" ht="12.75">
      <c r="C2" s="92" t="s">
        <v>127</v>
      </c>
      <c r="D2" s="92"/>
      <c r="E2" s="92"/>
      <c r="F2" s="92"/>
      <c r="G2" s="92"/>
      <c r="H2" s="92"/>
      <c r="I2" s="92"/>
      <c r="J2" s="71"/>
      <c r="K2" s="71"/>
    </row>
    <row r="3" spans="1:11" s="24" customFormat="1" ht="25.5">
      <c r="A3" s="31"/>
      <c r="B3" s="24" t="s">
        <v>18</v>
      </c>
      <c r="C3" s="25" t="s">
        <v>0</v>
      </c>
      <c r="D3" s="25" t="s">
        <v>128</v>
      </c>
      <c r="E3" s="25" t="s">
        <v>20</v>
      </c>
      <c r="F3" s="24" t="s">
        <v>1</v>
      </c>
      <c r="G3" s="25" t="s">
        <v>2</v>
      </c>
      <c r="H3" s="24" t="s">
        <v>87</v>
      </c>
      <c r="I3" s="24" t="s">
        <v>113</v>
      </c>
      <c r="J3" s="24" t="s">
        <v>143</v>
      </c>
      <c r="K3" s="88" t="s">
        <v>150</v>
      </c>
    </row>
    <row r="4" ht="12.75"/>
    <row r="5" spans="1:10" ht="12.75">
      <c r="A5" s="8" t="s">
        <v>12</v>
      </c>
      <c r="B5" s="4">
        <v>1</v>
      </c>
      <c r="C5" s="1">
        <v>8350000</v>
      </c>
      <c r="E5" s="1">
        <v>50000</v>
      </c>
      <c r="J5">
        <v>7</v>
      </c>
    </row>
    <row r="6" ht="12.75"/>
    <row r="7" spans="1:11" ht="12.75">
      <c r="A7" s="8" t="s">
        <v>14</v>
      </c>
      <c r="B7" s="4">
        <v>5</v>
      </c>
      <c r="C7" s="1">
        <f>$B7*SEI!B9</f>
        <v>188495.5592153876</v>
      </c>
      <c r="D7" s="1">
        <f>$B7*SEI!C9</f>
        <v>3949927.584</v>
      </c>
      <c r="E7" s="1">
        <f>$B7*SEI!D9</f>
        <v>0</v>
      </c>
      <c r="F7" s="1">
        <f>$B7*SEI!E9</f>
        <v>0</v>
      </c>
      <c r="G7" s="1">
        <f>$B7*SEI!F9</f>
        <v>19354.8</v>
      </c>
      <c r="H7" s="1">
        <f>$B7*SEI!G9</f>
        <v>0</v>
      </c>
      <c r="I7" s="1">
        <f>$B7*SEI!H9</f>
        <v>0</v>
      </c>
      <c r="J7" s="38"/>
      <c r="K7" s="38"/>
    </row>
    <row r="8" spans="4:9" ht="12.75">
      <c r="D8" s="1"/>
      <c r="F8" s="1"/>
      <c r="H8" s="1"/>
      <c r="I8" s="1"/>
    </row>
    <row r="9" spans="1:11" ht="12.75">
      <c r="A9" s="8" t="s">
        <v>15</v>
      </c>
      <c r="B9" s="4">
        <v>3</v>
      </c>
      <c r="C9" s="1">
        <f>$B9*SEI!B22</f>
        <v>164933.61431346415</v>
      </c>
      <c r="D9" s="1">
        <f>$B9*SEI!C22</f>
        <v>3251606.4000000004</v>
      </c>
      <c r="E9" s="1">
        <f>$B9*SEI!D22</f>
        <v>0</v>
      </c>
      <c r="F9" s="1">
        <f>$B9*SEI!E22</f>
        <v>0</v>
      </c>
      <c r="G9" s="1">
        <f>$B9*SEI!F22</f>
        <v>17419.32</v>
      </c>
      <c r="H9" s="1">
        <f>$B9*SEI!G22</f>
        <v>0</v>
      </c>
      <c r="I9" s="1">
        <f>$B9*SEI!H22</f>
        <v>0</v>
      </c>
      <c r="J9" s="38"/>
      <c r="K9" s="38"/>
    </row>
    <row r="10" spans="4:9" ht="12.75">
      <c r="D10" s="1"/>
      <c r="F10" s="1"/>
      <c r="H10" s="1"/>
      <c r="I10" s="1"/>
    </row>
    <row r="11" spans="1:11" ht="12.75">
      <c r="A11" s="8" t="s">
        <v>51</v>
      </c>
      <c r="B11" s="4">
        <v>3</v>
      </c>
      <c r="C11" s="1">
        <f>$B11*SUS!E15</f>
        <v>123019.10879999999</v>
      </c>
      <c r="D11" s="1">
        <f>$B11*SUS!F15</f>
        <v>35603.154599999994</v>
      </c>
      <c r="E11" s="1">
        <f>$B11*SUS!G15</f>
        <v>770.7792</v>
      </c>
      <c r="F11" s="1">
        <f>$B11*SUS!H15</f>
        <v>3058.0584</v>
      </c>
      <c r="G11" s="1">
        <f>$B11*SUS!I15</f>
        <v>0</v>
      </c>
      <c r="H11" s="1">
        <f>$B11*SUS!J15</f>
        <v>2516.7156578500812</v>
      </c>
      <c r="I11" s="1">
        <f>$B11*SUS!K15</f>
        <v>0</v>
      </c>
      <c r="J11" s="38"/>
      <c r="K11" s="38"/>
    </row>
    <row r="12" spans="4:9" ht="12.75">
      <c r="D12" s="1"/>
      <c r="F12" s="1"/>
      <c r="H12" s="1"/>
      <c r="I12" s="1"/>
    </row>
    <row r="13" spans="1:9" ht="12.75">
      <c r="A13" s="8" t="s">
        <v>16</v>
      </c>
      <c r="D13" s="1"/>
      <c r="F13" s="1"/>
      <c r="H13" s="1"/>
      <c r="I13" s="1"/>
    </row>
    <row r="14" spans="1:11" ht="12.75">
      <c r="A14" s="32" t="s">
        <v>22</v>
      </c>
      <c r="B14" s="4">
        <v>2</v>
      </c>
      <c r="C14" s="1">
        <f>$B14*SUS!E23</f>
        <v>82012.7392</v>
      </c>
      <c r="D14" s="1">
        <f>$B14*SUS!F23</f>
        <v>23735.4364</v>
      </c>
      <c r="E14" s="1">
        <f>$B14*SUS!G23</f>
        <v>242.58016000000003</v>
      </c>
      <c r="F14" s="1">
        <f>$B14*SUS!H23</f>
        <v>2038.7056</v>
      </c>
      <c r="G14" s="1">
        <f>$B14*SUS!I23</f>
        <v>0</v>
      </c>
      <c r="H14" s="1">
        <f>$B14*SUS!J23</f>
        <v>0</v>
      </c>
      <c r="I14" s="1">
        <f>$B14*SUS!K23</f>
        <v>0</v>
      </c>
      <c r="J14" s="38"/>
      <c r="K14" s="38"/>
    </row>
    <row r="15" spans="1:11" ht="12.75">
      <c r="A15" s="32" t="s">
        <v>23</v>
      </c>
      <c r="B15" s="4">
        <v>7</v>
      </c>
      <c r="C15" s="1">
        <f>$B15*SUS!E31</f>
        <v>126560</v>
      </c>
      <c r="D15" s="1">
        <f>$B15*SUS!F31</f>
        <v>135436</v>
      </c>
      <c r="E15" s="1">
        <f>$B15*SUS!G31</f>
        <v>180.6448</v>
      </c>
      <c r="F15" s="1">
        <f>$B15*SUS!H31</f>
        <v>0</v>
      </c>
      <c r="G15" s="1">
        <f>$B15*SUS!I31</f>
        <v>0</v>
      </c>
      <c r="H15" s="1">
        <f>$B15*SUS!J31</f>
        <v>0</v>
      </c>
      <c r="I15" s="1">
        <f>$B15*SUS!K31</f>
        <v>0</v>
      </c>
      <c r="J15" s="38"/>
      <c r="K15" s="38"/>
    </row>
    <row r="16" spans="1:11" ht="12.75">
      <c r="A16" s="32" t="s">
        <v>24</v>
      </c>
      <c r="B16" s="4">
        <v>4</v>
      </c>
      <c r="C16" s="1">
        <f>$B16*SUS!E39</f>
        <v>0</v>
      </c>
      <c r="D16" s="1">
        <f>$B16*SUS!F39</f>
        <v>0</v>
      </c>
      <c r="E16" s="1">
        <f>$B16*SUS!G39</f>
        <v>0</v>
      </c>
      <c r="F16" s="1">
        <f>$B16*SUS!H39</f>
        <v>0</v>
      </c>
      <c r="G16" s="1">
        <f>$B16*SUS!I39</f>
        <v>0</v>
      </c>
      <c r="H16" s="1">
        <f>$B16*SUS!J39</f>
        <v>0</v>
      </c>
      <c r="I16" s="1">
        <f>$B16*SUS!K39</f>
        <v>0</v>
      </c>
      <c r="J16" s="38"/>
      <c r="K16" s="38"/>
    </row>
    <row r="17" spans="1:11" ht="12.75">
      <c r="A17" s="32" t="s">
        <v>26</v>
      </c>
      <c r="B17" s="4">
        <v>1</v>
      </c>
      <c r="C17" s="1">
        <f>$B17*SUS!E47</f>
        <v>0</v>
      </c>
      <c r="D17" s="1">
        <f>$B17*SUS!F47</f>
        <v>47819</v>
      </c>
      <c r="E17" s="1">
        <f>$B17*SUS!G47</f>
        <v>101.0747557750587</v>
      </c>
      <c r="F17" s="1">
        <f>$B17*SUS!H47</f>
        <v>0</v>
      </c>
      <c r="G17" s="1">
        <f>$B17*SUS!I47</f>
        <v>0</v>
      </c>
      <c r="H17" s="1">
        <f>$B17*SUS!J47</f>
        <v>0</v>
      </c>
      <c r="I17" s="1">
        <f>$B17*SUS!K47</f>
        <v>0</v>
      </c>
      <c r="J17" s="38"/>
      <c r="K17" s="38"/>
    </row>
    <row r="18" spans="1:11" ht="12.75">
      <c r="A18" s="32" t="s">
        <v>25</v>
      </c>
      <c r="B18" s="4">
        <v>8</v>
      </c>
      <c r="C18" s="1">
        <f>$B18*SUS!E55</f>
        <v>0</v>
      </c>
      <c r="D18" s="1">
        <f>$B18*SUS!F55</f>
        <v>0</v>
      </c>
      <c r="E18" s="1">
        <f>$B18*SUS!G55</f>
        <v>0</v>
      </c>
      <c r="F18" s="1">
        <f>$B18*SUS!H55</f>
        <v>0</v>
      </c>
      <c r="G18" s="1">
        <f>$B18*SUS!I55</f>
        <v>0</v>
      </c>
      <c r="H18" s="1">
        <f>$B18*SUS!J55</f>
        <v>0</v>
      </c>
      <c r="I18" s="1">
        <f>$B18*SUS!K55</f>
        <v>0</v>
      </c>
      <c r="J18" s="38"/>
      <c r="K18" s="38"/>
    </row>
    <row r="20" ht="12.75">
      <c r="A20" s="8" t="s">
        <v>17</v>
      </c>
    </row>
    <row r="21" spans="1:11" ht="12.75">
      <c r="A21" s="32" t="s">
        <v>112</v>
      </c>
      <c r="B21" s="4">
        <v>2</v>
      </c>
      <c r="C21" s="38">
        <f>$B21*AOS!E5</f>
        <v>0</v>
      </c>
      <c r="D21" s="38">
        <f>$B21*AOS!F5</f>
        <v>0</v>
      </c>
      <c r="E21" s="38">
        <f>$B21*AOS!G5</f>
        <v>0</v>
      </c>
      <c r="F21" s="38">
        <f>$B21*AOS!H5</f>
        <v>0</v>
      </c>
      <c r="G21" s="38">
        <f>$B21*AOS!I5</f>
        <v>0</v>
      </c>
      <c r="H21" s="38">
        <f>$B21*AOS!J5</f>
        <v>0</v>
      </c>
      <c r="I21" s="38">
        <f>$B21*AOS!K5</f>
        <v>415715.2976</v>
      </c>
      <c r="J21" s="38"/>
      <c r="K21" s="38"/>
    </row>
    <row r="22" spans="1:11" ht="12.75">
      <c r="A22" s="32" t="s">
        <v>116</v>
      </c>
      <c r="B22" s="4">
        <v>2</v>
      </c>
      <c r="C22" s="38">
        <f>$B22*AOS!E8</f>
        <v>0</v>
      </c>
      <c r="D22" s="38">
        <f>$B22*AOS!F8</f>
        <v>139428</v>
      </c>
      <c r="E22" s="38">
        <f>$B22*AOS!G8</f>
        <v>0</v>
      </c>
      <c r="F22" s="38">
        <f>$B22*AOS!H8</f>
        <v>0</v>
      </c>
      <c r="G22" s="38">
        <f>$B22*AOS!I8</f>
        <v>0</v>
      </c>
      <c r="H22" s="38">
        <f>$B22*AOS!J8</f>
        <v>0</v>
      </c>
      <c r="I22" s="38">
        <f>$B22*AOS!K8</f>
        <v>78568</v>
      </c>
      <c r="J22" s="38"/>
      <c r="K22" s="38"/>
    </row>
    <row r="23" spans="1:11" ht="12.75">
      <c r="A23" s="32" t="s">
        <v>126</v>
      </c>
      <c r="B23" s="4">
        <v>2</v>
      </c>
      <c r="C23" s="38">
        <f>$B23*AOS!E11</f>
        <v>0</v>
      </c>
      <c r="D23" s="38">
        <f>$B23*AOS!F11</f>
        <v>0</v>
      </c>
      <c r="E23" s="38">
        <f>$B23*AOS!G11</f>
        <v>0</v>
      </c>
      <c r="F23" s="38">
        <f>$B23*AOS!H11</f>
        <v>0</v>
      </c>
      <c r="G23" s="38">
        <f>$B23*AOS!I11</f>
        <v>0</v>
      </c>
      <c r="H23" s="38">
        <f>$B23*AOS!J11</f>
        <v>0</v>
      </c>
      <c r="I23" s="38">
        <f>$B23*AOS!K11</f>
        <v>0</v>
      </c>
      <c r="J23" s="38"/>
      <c r="K23" s="38"/>
    </row>
    <row r="24" spans="1:11" ht="12.75">
      <c r="A24" s="32" t="s">
        <v>118</v>
      </c>
      <c r="B24" s="4">
        <v>9</v>
      </c>
      <c r="C24" s="38">
        <f>$B24*AOS!E14</f>
        <v>0</v>
      </c>
      <c r="D24" s="38">
        <f>$B24*AOS!F14</f>
        <v>0</v>
      </c>
      <c r="E24" s="38">
        <f>$B24*AOS!G14</f>
        <v>0</v>
      </c>
      <c r="F24" s="38">
        <f>$B24*AOS!H14</f>
        <v>0</v>
      </c>
      <c r="G24" s="38">
        <f>$B24*AOS!I14</f>
        <v>0</v>
      </c>
      <c r="H24" s="38">
        <f>$B24*AOS!J14</f>
        <v>0</v>
      </c>
      <c r="I24" s="38">
        <f>$B24*AOS!K14</f>
        <v>0</v>
      </c>
      <c r="J24" s="38"/>
      <c r="K24" s="38"/>
    </row>
    <row r="25" spans="1:11" ht="12.75">
      <c r="A25" s="32" t="s">
        <v>119</v>
      </c>
      <c r="B25" s="4">
        <v>2</v>
      </c>
      <c r="C25" s="38">
        <f>$B25*AOS!E17</f>
        <v>0</v>
      </c>
      <c r="D25" s="38">
        <f>$B25*AOS!F17</f>
        <v>0</v>
      </c>
      <c r="E25" s="38">
        <f>$B25*AOS!G17</f>
        <v>0</v>
      </c>
      <c r="F25" s="38">
        <f>$B25*AOS!H17</f>
        <v>0</v>
      </c>
      <c r="G25" s="38">
        <f>$B25*AOS!I17</f>
        <v>0</v>
      </c>
      <c r="H25" s="38">
        <f>$B25*AOS!J17</f>
        <v>0</v>
      </c>
      <c r="I25" s="38">
        <f>$B25*AOS!K17</f>
        <v>0</v>
      </c>
      <c r="J25" s="38"/>
      <c r="K25" s="38"/>
    </row>
    <row r="26" spans="1:11" ht="12.75">
      <c r="A26" s="32" t="s">
        <v>120</v>
      </c>
      <c r="B26" s="4">
        <v>2</v>
      </c>
      <c r="C26" s="38">
        <f>$B26*AOS!E20</f>
        <v>0</v>
      </c>
      <c r="D26" s="38">
        <f>$B26*AOS!F20</f>
        <v>8922</v>
      </c>
      <c r="E26" s="38">
        <f>$B26*AOS!G20</f>
        <v>58</v>
      </c>
      <c r="F26" s="38">
        <f>$B26*AOS!H20</f>
        <v>0</v>
      </c>
      <c r="G26" s="38">
        <f>$B26*AOS!I20</f>
        <v>0</v>
      </c>
      <c r="H26" s="38">
        <f>$B26*AOS!J20</f>
        <v>0</v>
      </c>
      <c r="I26" s="38">
        <f>$B26*AOS!K20</f>
        <v>42300</v>
      </c>
      <c r="J26" s="38"/>
      <c r="K26" s="38"/>
    </row>
    <row r="27" spans="1:11" ht="12.75">
      <c r="A27" s="32" t="s">
        <v>121</v>
      </c>
      <c r="B27" s="4">
        <v>1</v>
      </c>
      <c r="C27" s="38">
        <f>$B27*AOS!E28</f>
        <v>3088</v>
      </c>
      <c r="D27" s="38">
        <f>$B27*AOS!F28</f>
        <v>41330</v>
      </c>
      <c r="E27" s="38">
        <f>$B27*AOS!G28</f>
        <v>101.0747557750587</v>
      </c>
      <c r="F27" s="38">
        <f>$B27*AOS!H28</f>
        <v>0</v>
      </c>
      <c r="G27" s="38">
        <f>$B27*AOS!I28</f>
        <v>0</v>
      </c>
      <c r="H27" s="38">
        <f>$B27*AOS!J28</f>
        <v>0</v>
      </c>
      <c r="I27" s="38">
        <f>$B27*AOS!K28</f>
        <v>0</v>
      </c>
      <c r="J27" s="38"/>
      <c r="K27" s="38"/>
    </row>
    <row r="29" spans="1:11" ht="12.75">
      <c r="A29" s="8" t="s">
        <v>19</v>
      </c>
      <c r="B29" s="4">
        <v>9</v>
      </c>
      <c r="C29" s="1">
        <f>B29*WIRE!B8</f>
        <v>199910.4506181818</v>
      </c>
      <c r="D29" s="1">
        <f>B29*WIRE!C8</f>
        <v>0</v>
      </c>
      <c r="E29" s="1">
        <f>B29*WIRE!D8</f>
        <v>0</v>
      </c>
      <c r="F29" s="1">
        <f>B29*WIRE!E8</f>
        <v>167985.58778181818</v>
      </c>
      <c r="G29" s="1">
        <f>B29*WIRE!F8</f>
        <v>801922.1498181818</v>
      </c>
      <c r="H29" s="1">
        <f>B29*WIRE!G8</f>
        <v>0</v>
      </c>
      <c r="I29" s="1"/>
      <c r="J29" s="38"/>
      <c r="K29" s="38"/>
    </row>
    <row r="32" spans="1:13" s="23" customFormat="1" ht="12.75">
      <c r="A32" s="89" t="s">
        <v>152</v>
      </c>
      <c r="B32" s="21"/>
      <c r="C32" s="22">
        <f aca="true" t="shared" si="0" ref="C32:H32">SUM(C5:C31)</f>
        <v>9238019.472147033</v>
      </c>
      <c r="D32" s="22">
        <f t="shared" si="0"/>
        <v>7633807.575</v>
      </c>
      <c r="E32" s="22">
        <f t="shared" si="0"/>
        <v>51454.15367155011</v>
      </c>
      <c r="F32" s="22">
        <f t="shared" si="0"/>
        <v>173082.35178181817</v>
      </c>
      <c r="G32" s="22">
        <f t="shared" si="0"/>
        <v>838696.2698181818</v>
      </c>
      <c r="H32" s="22">
        <f t="shared" si="0"/>
        <v>2516.7156578500812</v>
      </c>
      <c r="I32" s="39">
        <f>SUM(I6:I31)</f>
        <v>536583.2975999999</v>
      </c>
      <c r="J32" s="39">
        <f>SUM(J5:J31)</f>
        <v>7</v>
      </c>
      <c r="K32" s="39">
        <v>12.7</v>
      </c>
      <c r="M32" s="21"/>
    </row>
    <row r="35" spans="1:15" s="7" customFormat="1" ht="12.75">
      <c r="A35" s="16"/>
      <c r="B35" s="34"/>
      <c r="C35" s="6"/>
      <c r="D35" s="35"/>
      <c r="E35" s="6"/>
      <c r="G35" s="6"/>
      <c r="J35" s="72"/>
      <c r="K35" s="72"/>
      <c r="M35" s="34"/>
      <c r="N35" s="36" t="s">
        <v>49</v>
      </c>
      <c r="O35" s="36" t="s">
        <v>50</v>
      </c>
    </row>
    <row r="36" spans="1:15" ht="25.5">
      <c r="A36" s="8" t="s">
        <v>44</v>
      </c>
      <c r="B36" s="2" t="s">
        <v>77</v>
      </c>
      <c r="C36" s="3" t="s">
        <v>43</v>
      </c>
      <c r="D36" s="3" t="s">
        <v>10</v>
      </c>
      <c r="E36" s="3" t="s">
        <v>20</v>
      </c>
      <c r="F36" s="3" t="s">
        <v>1</v>
      </c>
      <c r="G36" s="3" t="s">
        <v>2</v>
      </c>
      <c r="H36" s="3" t="s">
        <v>3</v>
      </c>
      <c r="I36" s="12" t="s">
        <v>113</v>
      </c>
      <c r="J36" s="12" t="s">
        <v>143</v>
      </c>
      <c r="K36" s="88" t="s">
        <v>150</v>
      </c>
      <c r="L36" s="12" t="s">
        <v>45</v>
      </c>
      <c r="M36" s="12" t="s">
        <v>48</v>
      </c>
      <c r="N36" s="3" t="s">
        <v>46</v>
      </c>
      <c r="O36" s="3" t="s">
        <v>46</v>
      </c>
    </row>
    <row r="37" spans="1:15" s="27" customFormat="1" ht="12.75">
      <c r="A37" s="10" t="s">
        <v>38</v>
      </c>
      <c r="B37" s="29">
        <v>3.8E-06</v>
      </c>
      <c r="C37" s="29">
        <f>C$32*Summary!C11</f>
        <v>9.238019472147032E-05</v>
      </c>
      <c r="D37" s="29">
        <f>D$32*Summary!D11</f>
        <v>7.633807575E-05</v>
      </c>
      <c r="E37" s="29">
        <f>E$32*Summary!E11</f>
        <v>5.1454153671550115E-06</v>
      </c>
      <c r="F37" s="29">
        <f>F$32*Summary!F11</f>
        <v>1.7308235178181817E-05</v>
      </c>
      <c r="G37" s="29">
        <f>G$32*Summary!G11</f>
        <v>8.386962698181818E-05</v>
      </c>
      <c r="H37" s="29">
        <f>H$32*Summary!H11</f>
        <v>2.5167156578500815E-07</v>
      </c>
      <c r="I37" s="29">
        <f>I$32*Summary!I11</f>
        <v>3.702424753439999E-07</v>
      </c>
      <c r="J37" s="29">
        <f>J$32*Summary!J11</f>
        <v>0</v>
      </c>
      <c r="K37" s="29">
        <f>K$32*Summary!K11</f>
        <v>1.5511355912061793E-11</v>
      </c>
      <c r="L37" s="28">
        <f>SUM(B37:K37)</f>
        <v>0.00027946347755111023</v>
      </c>
      <c r="M37" s="4">
        <f>4*4200</f>
        <v>16800</v>
      </c>
      <c r="N37" s="28">
        <f>L37/M37</f>
        <v>1.6634730806613703E-08</v>
      </c>
      <c r="O37" s="28">
        <f>L37/M37</f>
        <v>1.6634730806613703E-08</v>
      </c>
    </row>
    <row r="38" spans="1:15" ht="12.75">
      <c r="A38" s="10" t="s">
        <v>37</v>
      </c>
      <c r="B38" s="27"/>
      <c r="C38" s="29">
        <f>C$32*Summary!C12</f>
        <v>0.00046190097360735165</v>
      </c>
      <c r="D38" s="29">
        <f>D$32*Summary!D12</f>
        <v>0.00038169037875</v>
      </c>
      <c r="E38" s="29">
        <f>E$32*Summary!E12</f>
        <v>0.00015436246101465035</v>
      </c>
      <c r="F38" s="29">
        <f>F$32*Summary!F12</f>
        <v>0.0005192470553454545</v>
      </c>
      <c r="G38" s="29">
        <f>G$32*Summary!G12</f>
        <v>0.002516088809454545</v>
      </c>
      <c r="H38" s="29">
        <f>H$32*Summary!H12</f>
        <v>7.550146973550244E-06</v>
      </c>
      <c r="I38" s="29">
        <f>I$32*Summary!I12</f>
        <v>2.6829164879999997E-08</v>
      </c>
      <c r="J38" s="29">
        <f>J$32*Summary!J12</f>
        <v>0</v>
      </c>
      <c r="K38" s="29">
        <f>K$32*Summary!K12</f>
        <v>0</v>
      </c>
      <c r="L38" s="28">
        <f aca="true" t="shared" si="1" ref="L38:L43">SUM(B38:K38)</f>
        <v>0.004040866654310432</v>
      </c>
      <c r="M38" s="4">
        <f>2*142000</f>
        <v>284000</v>
      </c>
      <c r="N38" s="28">
        <f>L38/M38</f>
        <v>1.4228403712360675E-08</v>
      </c>
      <c r="O38" s="28"/>
    </row>
    <row r="39" spans="1:15" ht="12.75">
      <c r="A39" s="10" t="s">
        <v>42</v>
      </c>
      <c r="B39" s="27"/>
      <c r="C39" s="29">
        <f>C$32*Summary!C13</f>
        <v>4.619009736073516E-05</v>
      </c>
      <c r="D39" s="29">
        <f>D$32*Summary!D13</f>
        <v>3.8169037875E-05</v>
      </c>
      <c r="E39" s="29">
        <f>E$32*Summary!E13</f>
        <v>5.1454153671550114E-05</v>
      </c>
      <c r="F39" s="29">
        <f>F$32*Summary!F13</f>
        <v>0.0001730823517818182</v>
      </c>
      <c r="G39" s="29">
        <f>G$32*Summary!G13</f>
        <v>0.0008386962698181818</v>
      </c>
      <c r="H39" s="29">
        <f>H$32*Summary!H13</f>
        <v>2.5167156578500813E-06</v>
      </c>
      <c r="I39" s="29">
        <f>I$32*Summary!I13</f>
        <v>2.6829164879999997E-09</v>
      </c>
      <c r="J39" s="29">
        <f>J$32*Summary!J13</f>
        <v>0</v>
      </c>
      <c r="K39" s="29">
        <f>K$32*Summary!K13</f>
        <v>2.8315793226381462E-11</v>
      </c>
      <c r="L39" s="28">
        <f t="shared" si="1"/>
        <v>0.0011501113373974167</v>
      </c>
      <c r="M39" s="4">
        <f>2*142000</f>
        <v>284000</v>
      </c>
      <c r="N39" s="28"/>
      <c r="O39" s="28">
        <f>L39/M39</f>
        <v>4.0496878077373825E-09</v>
      </c>
    </row>
    <row r="40" spans="1:15" ht="12.75">
      <c r="A40" s="10" t="s">
        <v>39</v>
      </c>
      <c r="B40" s="27"/>
      <c r="C40" s="29">
        <f>C$32*Summary!C14</f>
        <v>0</v>
      </c>
      <c r="D40" s="29">
        <f>D$32*Summary!D14</f>
        <v>0</v>
      </c>
      <c r="E40" s="29">
        <f>E$32*Summary!E14</f>
        <v>0</v>
      </c>
      <c r="F40" s="29">
        <f>F$32*Summary!F14</f>
        <v>0</v>
      </c>
      <c r="G40" s="29">
        <f>G$32*Summary!G14</f>
        <v>0</v>
      </c>
      <c r="H40" s="29">
        <f>H$32*Summary!H14</f>
        <v>0</v>
      </c>
      <c r="I40" s="29">
        <f>I$32*Summary!I14</f>
        <v>1.2877999142399997E-08</v>
      </c>
      <c r="J40" s="29">
        <f>J$32*Summary!J14</f>
        <v>6.942148760330579E-06</v>
      </c>
      <c r="K40" s="29">
        <f>K$32*Summary!K14</f>
        <v>2.6534925727866903E-10</v>
      </c>
      <c r="L40" s="28">
        <f t="shared" si="1"/>
        <v>6.9552921087302575E-06</v>
      </c>
      <c r="M40" s="4">
        <f>4*2000</f>
        <v>8000</v>
      </c>
      <c r="N40" s="28">
        <f>L40/M40</f>
        <v>8.694115135912822E-10</v>
      </c>
      <c r="O40" s="28">
        <f>L40/M40</f>
        <v>8.694115135912822E-10</v>
      </c>
    </row>
    <row r="41" spans="1:15" ht="12.75">
      <c r="A41" s="10" t="s">
        <v>40</v>
      </c>
      <c r="B41" s="27"/>
      <c r="C41" s="29">
        <f>C$32*Summary!C15</f>
        <v>0</v>
      </c>
      <c r="D41" s="29">
        <f>D$32*Summary!D15</f>
        <v>0</v>
      </c>
      <c r="E41" s="29">
        <f>E$32*Summary!E15</f>
        <v>0</v>
      </c>
      <c r="F41" s="29">
        <f>F$32*Summary!F15</f>
        <v>0</v>
      </c>
      <c r="G41" s="29">
        <f>G$32*Summary!G15</f>
        <v>0</v>
      </c>
      <c r="H41" s="29">
        <f>H$32*Summary!H15</f>
        <v>0</v>
      </c>
      <c r="I41" s="29">
        <f>I$32*Summary!I15</f>
        <v>3.00486646656E-09</v>
      </c>
      <c r="J41" s="29">
        <f>J$32*Summary!J15</f>
        <v>0</v>
      </c>
      <c r="K41" s="29">
        <f>K$32*Summary!K15</f>
        <v>0</v>
      </c>
      <c r="L41" s="28">
        <f t="shared" si="1"/>
        <v>3.00486646656E-09</v>
      </c>
      <c r="M41" s="4">
        <f>4*2000</f>
        <v>8000</v>
      </c>
      <c r="N41" s="28">
        <f>L41/M41</f>
        <v>3.7560830832E-13</v>
      </c>
      <c r="O41" s="28">
        <f>L41/M41</f>
        <v>3.7560830832E-13</v>
      </c>
    </row>
    <row r="42" spans="1:15" ht="12.75">
      <c r="A42" s="10" t="s">
        <v>41</v>
      </c>
      <c r="B42" s="27"/>
      <c r="C42" s="29">
        <f>C$32*Summary!C16</f>
        <v>0</v>
      </c>
      <c r="D42" s="29">
        <f>D$32*Summary!D16</f>
        <v>0</v>
      </c>
      <c r="E42" s="29">
        <f>E$32*Summary!E16</f>
        <v>0</v>
      </c>
      <c r="F42" s="29">
        <f>F$32*Summary!F16</f>
        <v>0</v>
      </c>
      <c r="G42" s="29">
        <f>G$32*Summary!G16</f>
        <v>0</v>
      </c>
      <c r="H42" s="29">
        <f>H$32*Summary!H16</f>
        <v>0</v>
      </c>
      <c r="I42" s="29">
        <f>I$32*Summary!I16</f>
        <v>2.4682831689599994E-09</v>
      </c>
      <c r="J42" s="29">
        <f>J$32*Summary!J16</f>
        <v>0</v>
      </c>
      <c r="K42" s="29">
        <f>K$32*Summary!K16</f>
        <v>3.935717171717171E-10</v>
      </c>
      <c r="L42" s="28">
        <f t="shared" si="1"/>
        <v>2.8618548861317164E-09</v>
      </c>
      <c r="M42" s="4">
        <f>4*2000</f>
        <v>8000</v>
      </c>
      <c r="N42" s="28">
        <f>L42/M42</f>
        <v>3.5773186076646455E-13</v>
      </c>
      <c r="O42" s="28">
        <f>L42/M42</f>
        <v>3.5773186076646455E-13</v>
      </c>
    </row>
    <row r="43" spans="1:16" ht="12.75">
      <c r="A43" s="90" t="s">
        <v>141</v>
      </c>
      <c r="C43" s="29">
        <f>C$32*Summary!C17</f>
        <v>0</v>
      </c>
      <c r="D43" s="29">
        <f>D$32*Summary!D17</f>
        <v>0</v>
      </c>
      <c r="E43" s="29">
        <f>E$32*Summary!E17</f>
        <v>0</v>
      </c>
      <c r="F43" s="29">
        <f>F$32*Summary!F17</f>
        <v>0</v>
      </c>
      <c r="G43" s="29">
        <f>G$32*Summary!G17</f>
        <v>0</v>
      </c>
      <c r="H43" s="29">
        <f>H$32*Summary!H17</f>
        <v>0</v>
      </c>
      <c r="I43" s="29">
        <f>I$32*Summary!I17</f>
        <v>6.438999571199999E-11</v>
      </c>
      <c r="J43" s="29">
        <f>J$32*Summary!J17</f>
        <v>0</v>
      </c>
      <c r="K43" s="29">
        <f>K$32*Summary!K17</f>
        <v>6.37603990493167E-12</v>
      </c>
      <c r="L43" s="28">
        <f t="shared" si="1"/>
        <v>7.076603561693167E-11</v>
      </c>
      <c r="M43" s="4">
        <v>8500</v>
      </c>
      <c r="N43" s="28">
        <f>L43/M43</f>
        <v>8.325415954933138E-15</v>
      </c>
      <c r="O43" s="28">
        <f>L43/M43</f>
        <v>8.325415954933138E-15</v>
      </c>
      <c r="P43" s="28"/>
    </row>
    <row r="45" spans="1:15" s="23" customFormat="1" ht="12.75">
      <c r="A45" s="33" t="s">
        <v>47</v>
      </c>
      <c r="B45" s="21"/>
      <c r="C45" s="22"/>
      <c r="D45" s="30"/>
      <c r="E45" s="22"/>
      <c r="G45" s="22"/>
      <c r="M45" s="21"/>
      <c r="N45" s="41">
        <f>SUM(N37:N44)</f>
        <v>3.17332876981507E-08</v>
      </c>
      <c r="O45" s="41">
        <f>SUM(O37:O44)</f>
        <v>2.155457179352741E-08</v>
      </c>
    </row>
    <row r="47" spans="1:13" s="7" customFormat="1" ht="12.75">
      <c r="A47" s="16"/>
      <c r="B47" s="34"/>
      <c r="C47" s="6"/>
      <c r="D47" s="35"/>
      <c r="E47" s="6"/>
      <c r="G47" s="6"/>
      <c r="M47" s="34"/>
    </row>
  </sheetData>
  <sheetProtection/>
  <mergeCells count="1">
    <mergeCell ref="C2:I2"/>
  </mergeCells>
  <printOptions/>
  <pageMargins left="0.75" right="0.75" top="1" bottom="1" header="0.5" footer="0.5"/>
  <pageSetup fitToHeight="1" fitToWidth="1" orientation="landscape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K32" sqref="K32"/>
    </sheetView>
  </sheetViews>
  <sheetFormatPr defaultColWidth="11.00390625" defaultRowHeight="12.75"/>
  <cols>
    <col min="1" max="1" width="33.75390625" style="8" customWidth="1"/>
    <col min="2" max="2" width="10.625" style="4" customWidth="1"/>
    <col min="3" max="3" width="13.125" style="38" bestFit="1" customWidth="1"/>
    <col min="4" max="4" width="13.125" style="13" bestFit="1" customWidth="1"/>
    <col min="5" max="5" width="10.75390625" style="38" customWidth="1"/>
    <col min="6" max="6" width="11.00390625" style="0" customWidth="1"/>
    <col min="7" max="7" width="10.75390625" style="38" customWidth="1"/>
    <col min="8" max="8" width="11.00390625" style="0" customWidth="1"/>
    <col min="9" max="9" width="14.875" style="0" customWidth="1"/>
    <col min="10" max="11" width="16.75390625" style="0" customWidth="1"/>
    <col min="12" max="12" width="11.00390625" style="0" customWidth="1"/>
    <col min="13" max="13" width="10.75390625" style="4" customWidth="1"/>
  </cols>
  <sheetData>
    <row r="1" ht="12.75">
      <c r="A1" s="37" t="s">
        <v>55</v>
      </c>
    </row>
    <row r="2" spans="3:11" ht="12.75">
      <c r="C2" s="92" t="s">
        <v>127</v>
      </c>
      <c r="D2" s="92"/>
      <c r="E2" s="92"/>
      <c r="F2" s="92"/>
      <c r="G2" s="92"/>
      <c r="H2" s="92"/>
      <c r="I2" s="92"/>
      <c r="J2" s="71"/>
      <c r="K2" s="71"/>
    </row>
    <row r="3" spans="1:11" s="24" customFormat="1" ht="25.5">
      <c r="A3" s="31"/>
      <c r="B3" s="24" t="s">
        <v>18</v>
      </c>
      <c r="C3" s="25" t="s">
        <v>0</v>
      </c>
      <c r="D3" s="25" t="s">
        <v>128</v>
      </c>
      <c r="E3" s="25" t="s">
        <v>20</v>
      </c>
      <c r="F3" s="24" t="s">
        <v>1</v>
      </c>
      <c r="G3" s="25" t="s">
        <v>2</v>
      </c>
      <c r="H3" s="24" t="s">
        <v>87</v>
      </c>
      <c r="I3" s="24" t="s">
        <v>113</v>
      </c>
      <c r="J3" s="24" t="s">
        <v>143</v>
      </c>
      <c r="K3" s="88" t="s">
        <v>150</v>
      </c>
    </row>
    <row r="4" ht="12.75"/>
    <row r="5" spans="1:10" ht="12.75">
      <c r="A5" s="8" t="s">
        <v>12</v>
      </c>
      <c r="B5" s="4">
        <v>1</v>
      </c>
      <c r="C5" s="38">
        <v>4180000</v>
      </c>
      <c r="E5" s="38">
        <v>21000</v>
      </c>
      <c r="J5">
        <v>7</v>
      </c>
    </row>
    <row r="6" ht="12.75"/>
    <row r="7" spans="1:11" ht="12.75">
      <c r="A7" s="8" t="s">
        <v>14</v>
      </c>
      <c r="B7" s="4">
        <v>5</v>
      </c>
      <c r="C7" s="38">
        <f>$B7*SEI!B9</f>
        <v>188495.5592153876</v>
      </c>
      <c r="D7" s="38">
        <f>$B7*SEI!C9</f>
        <v>3949927.584</v>
      </c>
      <c r="E7" s="38">
        <f>$B7*SEI!D9</f>
        <v>0</v>
      </c>
      <c r="F7" s="38">
        <f>$B7*SEI!E9</f>
        <v>0</v>
      </c>
      <c r="G7" s="38">
        <f>$B7*SEI!F9</f>
        <v>19354.8</v>
      </c>
      <c r="H7" s="38">
        <f>$B7*SEI!G9</f>
        <v>0</v>
      </c>
      <c r="I7" s="38">
        <f>$B7*SEI!H9</f>
        <v>0</v>
      </c>
      <c r="J7" s="38"/>
      <c r="K7" s="38"/>
    </row>
    <row r="8" spans="4:9" ht="12.75">
      <c r="D8" s="38"/>
      <c r="F8" s="38"/>
      <c r="H8" s="38"/>
      <c r="I8" s="38"/>
    </row>
    <row r="9" spans="1:11" ht="12.75">
      <c r="A9" s="8" t="s">
        <v>15</v>
      </c>
      <c r="B9" s="4">
        <v>3</v>
      </c>
      <c r="C9" s="38">
        <f>$B9*SEI!B22</f>
        <v>164933.61431346415</v>
      </c>
      <c r="D9" s="38">
        <f>$B9*SEI!C22</f>
        <v>3251606.4000000004</v>
      </c>
      <c r="E9" s="38">
        <f>$B9*SEI!D22</f>
        <v>0</v>
      </c>
      <c r="F9" s="38">
        <f>$B9*SEI!E22</f>
        <v>0</v>
      </c>
      <c r="G9" s="38">
        <f>$B9*SEI!F22</f>
        <v>17419.32</v>
      </c>
      <c r="H9" s="38">
        <f>$B9*SEI!G22</f>
        <v>0</v>
      </c>
      <c r="I9" s="38">
        <f>$B9*SEI!H22</f>
        <v>0</v>
      </c>
      <c r="J9" s="38"/>
      <c r="K9" s="38"/>
    </row>
    <row r="10" spans="4:9" ht="12.75">
      <c r="D10" s="38"/>
      <c r="F10" s="38"/>
      <c r="H10" s="38"/>
      <c r="I10" s="38"/>
    </row>
    <row r="11" spans="1:11" ht="12.75">
      <c r="A11" s="8" t="s">
        <v>52</v>
      </c>
      <c r="B11" s="4">
        <v>5</v>
      </c>
      <c r="C11" s="38">
        <f>$B11*SUS!E15</f>
        <v>205031.848</v>
      </c>
      <c r="D11" s="38">
        <f>$B11*SUS!F15</f>
        <v>59338.591</v>
      </c>
      <c r="E11" s="38">
        <f>$B11*SUS!G15</f>
        <v>1284.632</v>
      </c>
      <c r="F11" s="38">
        <f>$B11*SUS!H15</f>
        <v>5096.764</v>
      </c>
      <c r="G11" s="38">
        <f>$B11*SUS!I15</f>
        <v>0</v>
      </c>
      <c r="H11" s="38">
        <f>$B11*SUS!J15</f>
        <v>4194.526096416802</v>
      </c>
      <c r="I11" s="38">
        <f>$B11*SUS!K15</f>
        <v>0</v>
      </c>
      <c r="J11" s="38"/>
      <c r="K11" s="38"/>
    </row>
    <row r="12" spans="4:9" ht="12.75">
      <c r="D12" s="38"/>
      <c r="F12" s="38"/>
      <c r="H12" s="38"/>
      <c r="I12" s="38"/>
    </row>
    <row r="13" spans="1:9" ht="12.75">
      <c r="A13" s="8" t="s">
        <v>16</v>
      </c>
      <c r="D13" s="38"/>
      <c r="F13" s="38"/>
      <c r="H13" s="38"/>
      <c r="I13" s="38"/>
    </row>
    <row r="14" spans="1:11" ht="12.75">
      <c r="A14" s="32" t="s">
        <v>22</v>
      </c>
      <c r="B14" s="4">
        <v>2</v>
      </c>
      <c r="C14" s="38">
        <f>$B14*SUS!E23</f>
        <v>82012.7392</v>
      </c>
      <c r="D14" s="38">
        <f>$B14*SUS!F23</f>
        <v>23735.4364</v>
      </c>
      <c r="E14" s="38">
        <f>$B14*SUS!G23</f>
        <v>242.58016000000003</v>
      </c>
      <c r="F14" s="38">
        <f>$B14*SUS!H23</f>
        <v>2038.7056</v>
      </c>
      <c r="G14" s="38">
        <f>$B14*SUS!I23</f>
        <v>0</v>
      </c>
      <c r="H14" s="38">
        <f>$B14*SUS!J23</f>
        <v>0</v>
      </c>
      <c r="I14" s="38">
        <f>$B14*SUS!K23</f>
        <v>0</v>
      </c>
      <c r="J14" s="38"/>
      <c r="K14" s="38"/>
    </row>
    <row r="15" spans="1:11" ht="12.75">
      <c r="A15" s="32" t="s">
        <v>23</v>
      </c>
      <c r="B15" s="4">
        <v>7</v>
      </c>
      <c r="C15" s="38">
        <f>$B15*SUS!E31</f>
        <v>126560</v>
      </c>
      <c r="D15" s="38">
        <f>$B15*SUS!F31</f>
        <v>135436</v>
      </c>
      <c r="E15" s="38">
        <f>$B15*SUS!G31</f>
        <v>180.6448</v>
      </c>
      <c r="F15" s="38">
        <f>$B15*SUS!H31</f>
        <v>0</v>
      </c>
      <c r="G15" s="38">
        <f>$B15*SUS!I31</f>
        <v>0</v>
      </c>
      <c r="H15" s="38">
        <f>$B15*SUS!J31</f>
        <v>0</v>
      </c>
      <c r="I15" s="38">
        <f>$B15*SUS!K31</f>
        <v>0</v>
      </c>
      <c r="J15" s="38"/>
      <c r="K15" s="38"/>
    </row>
    <row r="16" spans="1:11" ht="12.75">
      <c r="A16" s="32" t="s">
        <v>24</v>
      </c>
      <c r="B16" s="4">
        <v>4</v>
      </c>
      <c r="C16" s="38">
        <f>$B16*SUS!E39</f>
        <v>0</v>
      </c>
      <c r="D16" s="38">
        <f>$B16*SUS!F39</f>
        <v>0</v>
      </c>
      <c r="E16" s="38">
        <f>$B16*SUS!G39</f>
        <v>0</v>
      </c>
      <c r="F16" s="38">
        <f>$B16*SUS!H39</f>
        <v>0</v>
      </c>
      <c r="G16" s="38">
        <f>$B16*SUS!I39</f>
        <v>0</v>
      </c>
      <c r="H16" s="38">
        <f>$B16*SUS!J39</f>
        <v>0</v>
      </c>
      <c r="I16" s="38">
        <f>$B16*SUS!K39</f>
        <v>0</v>
      </c>
      <c r="J16" s="38"/>
      <c r="K16" s="38"/>
    </row>
    <row r="17" spans="1:11" ht="12.75">
      <c r="A17" s="32" t="s">
        <v>26</v>
      </c>
      <c r="B17" s="4">
        <v>1</v>
      </c>
      <c r="C17" s="38">
        <f>$B17*SUS!E47</f>
        <v>0</v>
      </c>
      <c r="D17" s="38">
        <f>$B17*SUS!F47</f>
        <v>47819</v>
      </c>
      <c r="E17" s="38">
        <f>$B17*SUS!G47</f>
        <v>101.0747557750587</v>
      </c>
      <c r="F17" s="38">
        <f>$B17*SUS!H47</f>
        <v>0</v>
      </c>
      <c r="G17" s="38">
        <f>$B17*SUS!I47</f>
        <v>0</v>
      </c>
      <c r="H17" s="38">
        <f>$B17*SUS!J47</f>
        <v>0</v>
      </c>
      <c r="I17" s="38">
        <f>$B17*SUS!K47</f>
        <v>0</v>
      </c>
      <c r="J17" s="38"/>
      <c r="K17" s="38"/>
    </row>
    <row r="18" spans="1:11" ht="12.75">
      <c r="A18" s="32" t="s">
        <v>25</v>
      </c>
      <c r="B18" s="4">
        <v>8</v>
      </c>
      <c r="C18" s="38">
        <f>$B18*SUS!E55</f>
        <v>0</v>
      </c>
      <c r="D18" s="38">
        <f>$B18*SUS!F55</f>
        <v>0</v>
      </c>
      <c r="E18" s="38">
        <f>$B18*SUS!G55</f>
        <v>0</v>
      </c>
      <c r="F18" s="38">
        <f>$B18*SUS!H55</f>
        <v>0</v>
      </c>
      <c r="G18" s="38">
        <f>$B18*SUS!I55</f>
        <v>0</v>
      </c>
      <c r="H18" s="38">
        <f>$B18*SUS!J55</f>
        <v>0</v>
      </c>
      <c r="I18" s="38">
        <f>$B18*SUS!K55</f>
        <v>0</v>
      </c>
      <c r="J18" s="38"/>
      <c r="K18" s="38"/>
    </row>
    <row r="20" ht="12.75">
      <c r="A20" s="8" t="s">
        <v>17</v>
      </c>
    </row>
    <row r="21" spans="1:11" ht="12.75">
      <c r="A21" s="32" t="s">
        <v>112</v>
      </c>
      <c r="B21" s="4">
        <v>2</v>
      </c>
      <c r="C21" s="38">
        <f>$B21*AOS!E5</f>
        <v>0</v>
      </c>
      <c r="D21" s="38">
        <f>$B21*AOS!F5</f>
        <v>0</v>
      </c>
      <c r="E21" s="38">
        <f>$B21*AOS!G5</f>
        <v>0</v>
      </c>
      <c r="F21" s="38">
        <f>$B21*AOS!H5</f>
        <v>0</v>
      </c>
      <c r="G21" s="38">
        <f>$B21*AOS!I5</f>
        <v>0</v>
      </c>
      <c r="H21" s="38">
        <f>$B21*AOS!J5</f>
        <v>0</v>
      </c>
      <c r="I21" s="38">
        <f>$B21*AOS!K5</f>
        <v>415715.2976</v>
      </c>
      <c r="J21" s="38"/>
      <c r="K21" s="38"/>
    </row>
    <row r="22" spans="1:11" ht="12.75">
      <c r="A22" s="32" t="s">
        <v>116</v>
      </c>
      <c r="B22" s="4">
        <v>2</v>
      </c>
      <c r="C22" s="38">
        <f>$B22*AOS!E8</f>
        <v>0</v>
      </c>
      <c r="D22" s="38">
        <f>$B22*AOS!F8</f>
        <v>139428</v>
      </c>
      <c r="E22" s="38">
        <f>$B22*AOS!G8</f>
        <v>0</v>
      </c>
      <c r="F22" s="38">
        <f>$B22*AOS!H8</f>
        <v>0</v>
      </c>
      <c r="G22" s="38">
        <f>$B22*AOS!I8</f>
        <v>0</v>
      </c>
      <c r="H22" s="38">
        <f>$B22*AOS!J8</f>
        <v>0</v>
      </c>
      <c r="I22" s="38">
        <f>$B22*AOS!K8</f>
        <v>78568</v>
      </c>
      <c r="J22" s="38"/>
      <c r="K22" s="38"/>
    </row>
    <row r="23" spans="1:11" ht="12.75">
      <c r="A23" s="32" t="s">
        <v>126</v>
      </c>
      <c r="B23" s="4">
        <v>2</v>
      </c>
      <c r="C23" s="38">
        <f>$B23*AOS!E11</f>
        <v>0</v>
      </c>
      <c r="D23" s="38">
        <f>$B23*AOS!F11</f>
        <v>0</v>
      </c>
      <c r="E23" s="38">
        <f>$B23*AOS!G11</f>
        <v>0</v>
      </c>
      <c r="F23" s="38">
        <f>$B23*AOS!H11</f>
        <v>0</v>
      </c>
      <c r="G23" s="38">
        <f>$B23*AOS!I11</f>
        <v>0</v>
      </c>
      <c r="H23" s="38">
        <f>$B23*AOS!J11</f>
        <v>0</v>
      </c>
      <c r="I23" s="38">
        <f>$B23*AOS!K11</f>
        <v>0</v>
      </c>
      <c r="J23" s="38"/>
      <c r="K23" s="38"/>
    </row>
    <row r="24" spans="1:11" ht="12.75">
      <c r="A24" s="32" t="s">
        <v>118</v>
      </c>
      <c r="B24" s="4">
        <v>9</v>
      </c>
      <c r="C24" s="38">
        <f>$B24*AOS!E14</f>
        <v>0</v>
      </c>
      <c r="D24" s="38">
        <f>$B24*AOS!F14</f>
        <v>0</v>
      </c>
      <c r="E24" s="38">
        <f>$B24*AOS!G14</f>
        <v>0</v>
      </c>
      <c r="F24" s="38">
        <f>$B24*AOS!H14</f>
        <v>0</v>
      </c>
      <c r="G24" s="38">
        <f>$B24*AOS!I14</f>
        <v>0</v>
      </c>
      <c r="H24" s="38">
        <f>$B24*AOS!J14</f>
        <v>0</v>
      </c>
      <c r="I24" s="38">
        <f>$B24*AOS!K14</f>
        <v>0</v>
      </c>
      <c r="J24" s="38"/>
      <c r="K24" s="38"/>
    </row>
    <row r="25" spans="1:11" ht="12.75">
      <c r="A25" s="32" t="s">
        <v>119</v>
      </c>
      <c r="B25" s="4">
        <v>2</v>
      </c>
      <c r="C25" s="38">
        <f>$B25*AOS!E17</f>
        <v>0</v>
      </c>
      <c r="D25" s="38">
        <f>$B25*AOS!F17</f>
        <v>0</v>
      </c>
      <c r="E25" s="38">
        <f>$B25*AOS!G17</f>
        <v>0</v>
      </c>
      <c r="F25" s="38">
        <f>$B25*AOS!H17</f>
        <v>0</v>
      </c>
      <c r="G25" s="38">
        <f>$B25*AOS!I17</f>
        <v>0</v>
      </c>
      <c r="H25" s="38">
        <f>$B25*AOS!J17</f>
        <v>0</v>
      </c>
      <c r="I25" s="38">
        <f>$B25*AOS!K17</f>
        <v>0</v>
      </c>
      <c r="J25" s="38"/>
      <c r="K25" s="38"/>
    </row>
    <row r="26" spans="1:11" ht="12.75">
      <c r="A26" s="32" t="s">
        <v>120</v>
      </c>
      <c r="B26" s="4">
        <v>2</v>
      </c>
      <c r="C26" s="38">
        <f>$B26*AOS!E20</f>
        <v>0</v>
      </c>
      <c r="D26" s="38">
        <f>$B26*AOS!F20</f>
        <v>8922</v>
      </c>
      <c r="E26" s="38">
        <f>$B26*AOS!G20</f>
        <v>58</v>
      </c>
      <c r="F26" s="38">
        <f>$B26*AOS!H20</f>
        <v>0</v>
      </c>
      <c r="G26" s="38">
        <f>$B26*AOS!I20</f>
        <v>0</v>
      </c>
      <c r="H26" s="38">
        <f>$B26*AOS!J20</f>
        <v>0</v>
      </c>
      <c r="I26" s="38">
        <f>$B26*AOS!K20</f>
        <v>42300</v>
      </c>
      <c r="J26" s="38"/>
      <c r="K26" s="38"/>
    </row>
    <row r="27" spans="1:11" ht="12.75">
      <c r="A27" s="32" t="s">
        <v>121</v>
      </c>
      <c r="B27" s="4">
        <v>1</v>
      </c>
      <c r="C27" s="38">
        <f>$B27*AOS!E28</f>
        <v>3088</v>
      </c>
      <c r="D27" s="38">
        <f>$B27*AOS!F28</f>
        <v>41330</v>
      </c>
      <c r="E27" s="38">
        <f>$B27*AOS!G28</f>
        <v>101.0747557750587</v>
      </c>
      <c r="F27" s="38">
        <f>$B27*AOS!H28</f>
        <v>0</v>
      </c>
      <c r="G27" s="38">
        <f>$B27*AOS!I28</f>
        <v>0</v>
      </c>
      <c r="H27" s="38">
        <f>$B27*AOS!J28</f>
        <v>0</v>
      </c>
      <c r="I27" s="38">
        <f>$B27*AOS!K28</f>
        <v>0</v>
      </c>
      <c r="J27" s="38"/>
      <c r="K27" s="38"/>
    </row>
    <row r="29" spans="1:11" ht="12.75">
      <c r="A29" s="8" t="s">
        <v>19</v>
      </c>
      <c r="B29" s="4">
        <v>9</v>
      </c>
      <c r="C29" s="38">
        <f>$B29*WIRE!B8</f>
        <v>199910.4506181818</v>
      </c>
      <c r="D29" s="38">
        <f>$B29*WIRE!C8</f>
        <v>0</v>
      </c>
      <c r="E29" s="38">
        <f>$B29*WIRE!D8</f>
        <v>0</v>
      </c>
      <c r="F29" s="38">
        <f>$B29*WIRE!E8</f>
        <v>167985.58778181818</v>
      </c>
      <c r="G29" s="38">
        <f>$B29*WIRE!F8</f>
        <v>801922.1498181818</v>
      </c>
      <c r="H29" s="38">
        <f>$B29*WIRE!G8</f>
        <v>0</v>
      </c>
      <c r="I29" s="38">
        <f>$B29*WIRE!H8</f>
        <v>0</v>
      </c>
      <c r="J29" s="38"/>
      <c r="K29" s="38"/>
    </row>
    <row r="32" spans="1:13" s="23" customFormat="1" ht="12.75">
      <c r="A32" s="89" t="s">
        <v>152</v>
      </c>
      <c r="B32" s="21"/>
      <c r="C32" s="39">
        <f aca="true" t="shared" si="0" ref="C32:J32">SUM(C5:C31)</f>
        <v>5150032.211347033</v>
      </c>
      <c r="D32" s="39">
        <f t="shared" si="0"/>
        <v>7657543.0114</v>
      </c>
      <c r="E32" s="39">
        <f t="shared" si="0"/>
        <v>22968.006471550118</v>
      </c>
      <c r="F32" s="39">
        <f t="shared" si="0"/>
        <v>175121.0573818182</v>
      </c>
      <c r="G32" s="39">
        <f t="shared" si="0"/>
        <v>838696.2698181818</v>
      </c>
      <c r="H32" s="39">
        <f t="shared" si="0"/>
        <v>4194.526096416802</v>
      </c>
      <c r="I32" s="39">
        <f t="shared" si="0"/>
        <v>536583.2975999999</v>
      </c>
      <c r="J32" s="39">
        <f t="shared" si="0"/>
        <v>7</v>
      </c>
      <c r="K32" s="39">
        <v>19.2</v>
      </c>
      <c r="M32" s="21"/>
    </row>
    <row r="35" spans="1:15" s="7" customFormat="1" ht="12.75">
      <c r="A35" s="16"/>
      <c r="B35" s="34"/>
      <c r="C35" s="40"/>
      <c r="D35" s="35"/>
      <c r="E35" s="40"/>
      <c r="G35" s="40"/>
      <c r="J35" s="72"/>
      <c r="K35" s="72"/>
      <c r="M35" s="34"/>
      <c r="N35" s="36" t="s">
        <v>49</v>
      </c>
      <c r="O35" s="36" t="s">
        <v>50</v>
      </c>
    </row>
    <row r="36" spans="1:15" ht="25.5">
      <c r="A36" s="8" t="s">
        <v>44</v>
      </c>
      <c r="B36" s="2" t="s">
        <v>77</v>
      </c>
      <c r="C36" s="3" t="s">
        <v>43</v>
      </c>
      <c r="D36" s="3" t="s">
        <v>10</v>
      </c>
      <c r="E36" s="3" t="s">
        <v>20</v>
      </c>
      <c r="F36" s="3" t="s">
        <v>1</v>
      </c>
      <c r="G36" s="3" t="s">
        <v>2</v>
      </c>
      <c r="H36" s="3" t="s">
        <v>3</v>
      </c>
      <c r="I36" s="12" t="s">
        <v>113</v>
      </c>
      <c r="J36" s="12" t="s">
        <v>143</v>
      </c>
      <c r="K36" s="88" t="s">
        <v>150</v>
      </c>
      <c r="L36" s="12" t="s">
        <v>45</v>
      </c>
      <c r="M36" s="12" t="s">
        <v>48</v>
      </c>
      <c r="N36" s="3" t="s">
        <v>46</v>
      </c>
      <c r="O36" s="3" t="s">
        <v>46</v>
      </c>
    </row>
    <row r="37" spans="1:15" s="27" customFormat="1" ht="12.75">
      <c r="A37" s="10" t="s">
        <v>38</v>
      </c>
      <c r="B37" s="29">
        <v>3.8E-06</v>
      </c>
      <c r="C37" s="29">
        <f>C$32*Summary!C11</f>
        <v>5.150032211347033E-05</v>
      </c>
      <c r="D37" s="29">
        <f>D$32*Summary!D11</f>
        <v>7.6575430114E-05</v>
      </c>
      <c r="E37" s="29">
        <f>E$32*Summary!E11</f>
        <v>2.2968006471550118E-06</v>
      </c>
      <c r="F37" s="29">
        <f>F$32*Summary!F11</f>
        <v>1.751210573818182E-05</v>
      </c>
      <c r="G37" s="29">
        <f>G$32*Summary!G11</f>
        <v>8.386962698181818E-05</v>
      </c>
      <c r="H37" s="29">
        <f>H$32*Summary!H11</f>
        <v>4.194526096416802E-07</v>
      </c>
      <c r="I37" s="29">
        <f>I$32*Summary!I11</f>
        <v>3.702424753439999E-07</v>
      </c>
      <c r="J37" s="29">
        <f>J$32*Summary!J11</f>
        <v>0</v>
      </c>
      <c r="K37" s="29">
        <f>K$32*Summary!K11</f>
        <v>2.3450238859180035E-11</v>
      </c>
      <c r="L37" s="28">
        <f>SUM(B37:K37)</f>
        <v>0.00023634400412984985</v>
      </c>
      <c r="M37" s="4">
        <f>4*4200</f>
        <v>16800</v>
      </c>
      <c r="N37" s="28">
        <f>L37/M37</f>
        <v>1.4068095483919633E-08</v>
      </c>
      <c r="O37" s="28">
        <f>L37/M37</f>
        <v>1.4068095483919633E-08</v>
      </c>
    </row>
    <row r="38" spans="1:15" ht="12.75">
      <c r="A38" s="10" t="s">
        <v>37</v>
      </c>
      <c r="B38" s="27"/>
      <c r="C38" s="29">
        <f>C$32*Summary!C12</f>
        <v>0.00025750161056735166</v>
      </c>
      <c r="D38" s="29">
        <f>D$32*Summary!D12</f>
        <v>0.00038287715057000004</v>
      </c>
      <c r="E38" s="29">
        <f>E$32*Summary!E12</f>
        <v>6.890401941465035E-05</v>
      </c>
      <c r="F38" s="29">
        <f>F$32*Summary!F12</f>
        <v>0.0005253631721454545</v>
      </c>
      <c r="G38" s="29">
        <f>G$32*Summary!G12</f>
        <v>0.002516088809454545</v>
      </c>
      <c r="H38" s="29">
        <f>H$32*Summary!H12</f>
        <v>1.2583578289250405E-05</v>
      </c>
      <c r="I38" s="29">
        <f>I$32*Summary!I12</f>
        <v>2.6829164879999997E-08</v>
      </c>
      <c r="J38" s="29">
        <f>J$32*Summary!J12</f>
        <v>0</v>
      </c>
      <c r="K38" s="29">
        <f>K$32*Summary!K12</f>
        <v>0</v>
      </c>
      <c r="L38" s="28">
        <f aca="true" t="shared" si="1" ref="L38:L43">SUM(B38:K38)</f>
        <v>0.003763345169606132</v>
      </c>
      <c r="M38" s="4">
        <f>2*142000</f>
        <v>284000</v>
      </c>
      <c r="N38" s="28">
        <f>L38/M38</f>
        <v>1.3251215385937084E-08</v>
      </c>
      <c r="O38" s="28"/>
    </row>
    <row r="39" spans="1:15" ht="12.75">
      <c r="A39" s="10" t="s">
        <v>42</v>
      </c>
      <c r="B39" s="27"/>
      <c r="C39" s="29">
        <f>C$32*Summary!C13</f>
        <v>2.5750161056735164E-05</v>
      </c>
      <c r="D39" s="29">
        <f>D$32*Summary!D13</f>
        <v>3.8287715057E-05</v>
      </c>
      <c r="E39" s="29">
        <f>E$32*Summary!E13</f>
        <v>2.296800647155012E-05</v>
      </c>
      <c r="F39" s="29">
        <f>F$32*Summary!F13</f>
        <v>0.0001751210573818182</v>
      </c>
      <c r="G39" s="29">
        <f>G$32*Summary!G13</f>
        <v>0.0008386962698181818</v>
      </c>
      <c r="H39" s="29">
        <f>H$32*Summary!H13</f>
        <v>4.194526096416802E-06</v>
      </c>
      <c r="I39" s="29">
        <f>I$32*Summary!I13</f>
        <v>2.6829164879999997E-09</v>
      </c>
      <c r="J39" s="29">
        <f>J$32*Summary!J13</f>
        <v>0</v>
      </c>
      <c r="K39" s="29">
        <f>K$32*Summary!K13</f>
        <v>4.280812834224599E-11</v>
      </c>
      <c r="L39" s="28">
        <f t="shared" si="1"/>
        <v>0.0011050204616063182</v>
      </c>
      <c r="M39" s="4">
        <f>2*142000</f>
        <v>284000</v>
      </c>
      <c r="N39" s="28"/>
      <c r="O39" s="28">
        <f>L39/M39</f>
        <v>3.8909171183321065E-09</v>
      </c>
    </row>
    <row r="40" spans="1:15" ht="12.75">
      <c r="A40" s="10" t="s">
        <v>39</v>
      </c>
      <c r="B40" s="27"/>
      <c r="C40" s="29">
        <f>C$32*Summary!C14</f>
        <v>0</v>
      </c>
      <c r="D40" s="29">
        <f>D$32*Summary!D14</f>
        <v>0</v>
      </c>
      <c r="E40" s="29">
        <f>E$32*Summary!E14</f>
        <v>0</v>
      </c>
      <c r="F40" s="29">
        <f>F$32*Summary!F14</f>
        <v>0</v>
      </c>
      <c r="G40" s="29">
        <f>G$32*Summary!G14</f>
        <v>0</v>
      </c>
      <c r="H40" s="29">
        <f>H$32*Summary!H14</f>
        <v>0</v>
      </c>
      <c r="I40" s="29">
        <f>I$32*Summary!I14</f>
        <v>1.2877999142399997E-08</v>
      </c>
      <c r="J40" s="29">
        <f>J$32*Summary!J14</f>
        <v>6.942148760330579E-06</v>
      </c>
      <c r="K40" s="29">
        <f>K$32*Summary!K14</f>
        <v>4.0115793226381463E-10</v>
      </c>
      <c r="L40" s="28">
        <f t="shared" si="1"/>
        <v>6.9554279174052425E-06</v>
      </c>
      <c r="M40" s="4">
        <f>4*2000</f>
        <v>8000</v>
      </c>
      <c r="N40" s="28">
        <f>L40/M40</f>
        <v>8.694284896756553E-10</v>
      </c>
      <c r="O40" s="28">
        <f>L40/M40</f>
        <v>8.694284896756553E-10</v>
      </c>
    </row>
    <row r="41" spans="1:15" ht="12.75">
      <c r="A41" s="10" t="s">
        <v>40</v>
      </c>
      <c r="B41" s="27"/>
      <c r="C41" s="29">
        <f>C$32*Summary!C15</f>
        <v>0</v>
      </c>
      <c r="D41" s="29">
        <f>D$32*Summary!D15</f>
        <v>0</v>
      </c>
      <c r="E41" s="29">
        <f>E$32*Summary!E15</f>
        <v>0</v>
      </c>
      <c r="F41" s="29">
        <f>F$32*Summary!F15</f>
        <v>0</v>
      </c>
      <c r="G41" s="29">
        <f>G$32*Summary!G15</f>
        <v>0</v>
      </c>
      <c r="H41" s="29">
        <f>H$32*Summary!H15</f>
        <v>0</v>
      </c>
      <c r="I41" s="29">
        <f>I$32*Summary!I15</f>
        <v>3.00486646656E-09</v>
      </c>
      <c r="J41" s="29">
        <f>J$32*Summary!J15</f>
        <v>0</v>
      </c>
      <c r="K41" s="29">
        <f>K$32*Summary!K15</f>
        <v>0</v>
      </c>
      <c r="L41" s="28">
        <f t="shared" si="1"/>
        <v>3.00486646656E-09</v>
      </c>
      <c r="M41" s="4">
        <f>4*2000</f>
        <v>8000</v>
      </c>
      <c r="N41" s="28">
        <f>L41/M41</f>
        <v>3.7560830832E-13</v>
      </c>
      <c r="O41" s="28">
        <f>L41/M41</f>
        <v>3.7560830832E-13</v>
      </c>
    </row>
    <row r="42" spans="1:15" ht="12.75">
      <c r="A42" s="10" t="s">
        <v>41</v>
      </c>
      <c r="B42" s="27"/>
      <c r="C42" s="29">
        <f>C$32*Summary!C16</f>
        <v>0</v>
      </c>
      <c r="D42" s="29">
        <f>D$32*Summary!D16</f>
        <v>0</v>
      </c>
      <c r="E42" s="29">
        <f>E$32*Summary!E16</f>
        <v>0</v>
      </c>
      <c r="F42" s="29">
        <f>F$32*Summary!F16</f>
        <v>0</v>
      </c>
      <c r="G42" s="29">
        <f>G$32*Summary!G16</f>
        <v>0</v>
      </c>
      <c r="H42" s="29">
        <f>H$32*Summary!H16</f>
        <v>0</v>
      </c>
      <c r="I42" s="29">
        <f>I$32*Summary!I16</f>
        <v>2.4682831689599994E-09</v>
      </c>
      <c r="J42" s="29">
        <f>J$32*Summary!J16</f>
        <v>0</v>
      </c>
      <c r="K42" s="29">
        <f>K$32*Summary!K16</f>
        <v>5.950060606060606E-10</v>
      </c>
      <c r="L42" s="28">
        <f t="shared" si="1"/>
        <v>3.06328922956606E-09</v>
      </c>
      <c r="M42" s="4">
        <f>4*2000</f>
        <v>8000</v>
      </c>
      <c r="N42" s="28">
        <f>L42/M42</f>
        <v>3.829111536957575E-13</v>
      </c>
      <c r="O42" s="28">
        <f>L42/M42</f>
        <v>3.829111536957575E-13</v>
      </c>
    </row>
    <row r="43" spans="1:16" ht="12.75">
      <c r="A43" s="90" t="s">
        <v>141</v>
      </c>
      <c r="C43" s="29">
        <f>C$32*Summary!C17</f>
        <v>0</v>
      </c>
      <c r="D43" s="29">
        <f>D$32*Summary!D17</f>
        <v>0</v>
      </c>
      <c r="E43" s="29">
        <f>E$32*Summary!E17</f>
        <v>0</v>
      </c>
      <c r="F43" s="29">
        <f>F$32*Summary!F17</f>
        <v>0</v>
      </c>
      <c r="G43" s="29">
        <f>G$32*Summary!G17</f>
        <v>0</v>
      </c>
      <c r="H43" s="29">
        <f>H$32*Summary!H17</f>
        <v>0</v>
      </c>
      <c r="I43" s="29">
        <f>I$32*Summary!I17</f>
        <v>6.438999571199999E-11</v>
      </c>
      <c r="J43" s="29">
        <f>J$32*Summary!J17</f>
        <v>0</v>
      </c>
      <c r="K43" s="29">
        <f>K$32*Summary!K17</f>
        <v>9.639367415329768E-12</v>
      </c>
      <c r="L43" s="28">
        <f t="shared" si="1"/>
        <v>7.402936312732976E-11</v>
      </c>
      <c r="M43" s="4">
        <v>8500</v>
      </c>
      <c r="N43" s="28">
        <f>L43/M43</f>
        <v>8.709336838509384E-15</v>
      </c>
      <c r="O43" s="28">
        <f>L43/M43</f>
        <v>8.709336838509384E-15</v>
      </c>
      <c r="P43" s="28"/>
    </row>
    <row r="45" spans="1:15" s="23" customFormat="1" ht="12.75">
      <c r="A45" s="33" t="s">
        <v>47</v>
      </c>
      <c r="B45" s="21"/>
      <c r="C45" s="39"/>
      <c r="D45" s="30"/>
      <c r="E45" s="39"/>
      <c r="G45" s="39"/>
      <c r="M45" s="21"/>
      <c r="N45" s="41">
        <f>SUM(N37:N44)</f>
        <v>2.8189506588331226E-08</v>
      </c>
      <c r="O45" s="41">
        <f>SUM(O37:O44)</f>
        <v>1.882920832072625E-08</v>
      </c>
    </row>
    <row r="47" spans="1:13" s="7" customFormat="1" ht="12.75">
      <c r="A47" s="16"/>
      <c r="B47" s="34"/>
      <c r="C47" s="40"/>
      <c r="D47" s="35"/>
      <c r="E47" s="40"/>
      <c r="G47" s="40"/>
      <c r="M47" s="34"/>
    </row>
  </sheetData>
  <sheetProtection/>
  <mergeCells count="1">
    <mergeCell ref="C2:I2"/>
  </mergeCells>
  <printOptions/>
  <pageMargins left="0.75" right="0.75" top="1" bottom="1" header="0.5" footer="0.5"/>
  <pageSetup fitToHeight="1" fitToWidth="1" orientation="landscape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E12">
      <selection activeCell="K33" sqref="K33"/>
    </sheetView>
  </sheetViews>
  <sheetFormatPr defaultColWidth="11.00390625" defaultRowHeight="12.75"/>
  <cols>
    <col min="1" max="1" width="33.75390625" style="8" customWidth="1"/>
    <col min="2" max="2" width="10.625" style="4" customWidth="1"/>
    <col min="3" max="3" width="13.125" style="38" bestFit="1" customWidth="1"/>
    <col min="4" max="4" width="13.125" style="13" bestFit="1" customWidth="1"/>
    <col min="5" max="5" width="10.75390625" style="38" customWidth="1"/>
    <col min="6" max="6" width="11.00390625" style="0" customWidth="1"/>
    <col min="7" max="7" width="10.75390625" style="38" customWidth="1"/>
    <col min="8" max="8" width="11.00390625" style="0" customWidth="1"/>
    <col min="9" max="9" width="14.875" style="0" customWidth="1"/>
    <col min="10" max="11" width="16.75390625" style="0" customWidth="1"/>
    <col min="12" max="12" width="11.00390625" style="0" customWidth="1"/>
    <col min="13" max="13" width="10.75390625" style="4" customWidth="1"/>
  </cols>
  <sheetData>
    <row r="1" ht="12.75">
      <c r="A1" s="37" t="s">
        <v>54</v>
      </c>
    </row>
    <row r="2" spans="3:11" ht="12.75">
      <c r="C2" s="92" t="s">
        <v>127</v>
      </c>
      <c r="D2" s="92"/>
      <c r="E2" s="92"/>
      <c r="F2" s="92"/>
      <c r="G2" s="92"/>
      <c r="H2" s="92"/>
      <c r="I2" s="92"/>
      <c r="J2" s="71"/>
      <c r="K2" s="71"/>
    </row>
    <row r="3" spans="1:11" s="24" customFormat="1" ht="25.5">
      <c r="A3" s="31"/>
      <c r="B3" s="24" t="s">
        <v>18</v>
      </c>
      <c r="C3" s="25" t="s">
        <v>0</v>
      </c>
      <c r="D3" s="25" t="s">
        <v>128</v>
      </c>
      <c r="E3" s="25" t="s">
        <v>20</v>
      </c>
      <c r="F3" s="24" t="s">
        <v>1</v>
      </c>
      <c r="G3" s="25" t="s">
        <v>2</v>
      </c>
      <c r="H3" s="24" t="s">
        <v>87</v>
      </c>
      <c r="I3" s="24" t="s">
        <v>113</v>
      </c>
      <c r="J3" s="24" t="s">
        <v>143</v>
      </c>
      <c r="K3" s="88" t="s">
        <v>150</v>
      </c>
    </row>
    <row r="4" ht="12.75"/>
    <row r="5" spans="1:12" ht="12.75">
      <c r="A5" s="8" t="s">
        <v>12</v>
      </c>
      <c r="B5" s="4">
        <v>1</v>
      </c>
      <c r="C5" s="38">
        <v>1860000</v>
      </c>
      <c r="E5" s="38">
        <v>15000</v>
      </c>
      <c r="J5">
        <v>3</v>
      </c>
      <c r="L5" s="26"/>
    </row>
    <row r="6" ht="12.75"/>
    <row r="7" spans="1:11" ht="12.75">
      <c r="A7" s="8" t="s">
        <v>14</v>
      </c>
      <c r="B7" s="4">
        <v>0</v>
      </c>
      <c r="C7" s="38">
        <f>$B7*SEI!B9</f>
        <v>0</v>
      </c>
      <c r="D7" s="38">
        <f>$B7*SEI!C9</f>
        <v>0</v>
      </c>
      <c r="E7" s="38">
        <f>$B7*SEI!D9</f>
        <v>0</v>
      </c>
      <c r="F7" s="38">
        <f>$B7*SEI!E9</f>
        <v>0</v>
      </c>
      <c r="G7" s="38">
        <f>$B7*SEI!F9</f>
        <v>0</v>
      </c>
      <c r="H7" s="38">
        <f>$B7*SEI!G9</f>
        <v>0</v>
      </c>
      <c r="I7" s="38">
        <f>$B7*SEI!H9</f>
        <v>0</v>
      </c>
      <c r="J7" s="38"/>
      <c r="K7" s="38"/>
    </row>
    <row r="8" spans="4:9" ht="12.75">
      <c r="D8" s="38"/>
      <c r="F8" s="38"/>
      <c r="H8" s="38"/>
      <c r="I8" s="38"/>
    </row>
    <row r="9" spans="1:11" ht="12.75">
      <c r="A9" s="8" t="s">
        <v>15</v>
      </c>
      <c r="B9" s="4">
        <v>2</v>
      </c>
      <c r="C9" s="38">
        <f>$B9*SEI!B22</f>
        <v>109955.74287564277</v>
      </c>
      <c r="D9" s="38">
        <f>$B9*SEI!C22</f>
        <v>2167737.6</v>
      </c>
      <c r="E9" s="38">
        <f>$B9*SEI!D22</f>
        <v>0</v>
      </c>
      <c r="F9" s="38">
        <f>$B9*SEI!E22</f>
        <v>0</v>
      </c>
      <c r="G9" s="38">
        <f>$B9*SEI!F22</f>
        <v>11612.880000000001</v>
      </c>
      <c r="H9" s="38">
        <f>$B9*SEI!G22</f>
        <v>0</v>
      </c>
      <c r="I9" s="38">
        <f>$B9*SEI!H22</f>
        <v>0</v>
      </c>
      <c r="J9" s="38"/>
      <c r="K9" s="38"/>
    </row>
    <row r="10" spans="4:9" ht="12.75">
      <c r="D10" s="38"/>
      <c r="F10" s="38"/>
      <c r="H10" s="38"/>
      <c r="I10" s="38"/>
    </row>
    <row r="11" spans="1:11" ht="12.75">
      <c r="A11" s="8" t="s">
        <v>36</v>
      </c>
      <c r="B11" s="4">
        <v>2</v>
      </c>
      <c r="C11" s="38">
        <f>$B11*SUS!E15</f>
        <v>82012.7392</v>
      </c>
      <c r="D11" s="38">
        <f>$B11*SUS!F15</f>
        <v>23735.4364</v>
      </c>
      <c r="E11" s="38">
        <f>$B11*SUS!G15</f>
        <v>513.8528</v>
      </c>
      <c r="F11" s="38">
        <f>$B11*SUS!H15</f>
        <v>2038.7056</v>
      </c>
      <c r="G11" s="38">
        <f>$B11*SUS!I15</f>
        <v>0</v>
      </c>
      <c r="H11" s="38">
        <f>$B11*SUS!J15</f>
        <v>1677.810438566721</v>
      </c>
      <c r="I11" s="38">
        <f>$B11*SUS!K15</f>
        <v>0</v>
      </c>
      <c r="J11" s="38"/>
      <c r="K11" s="38"/>
    </row>
    <row r="12" spans="4:9" ht="12.75">
      <c r="D12" s="38"/>
      <c r="F12" s="38"/>
      <c r="H12" s="38"/>
      <c r="I12" s="38"/>
    </row>
    <row r="13" spans="1:9" ht="12.75">
      <c r="A13" s="8" t="s">
        <v>16</v>
      </c>
      <c r="D13" s="38"/>
      <c r="F13" s="38"/>
      <c r="H13" s="38"/>
      <c r="I13" s="38"/>
    </row>
    <row r="14" spans="1:11" ht="12.75">
      <c r="A14" s="32" t="s">
        <v>22</v>
      </c>
      <c r="B14" s="4">
        <v>0</v>
      </c>
      <c r="C14" s="38">
        <f>$B14*SUS!E23</f>
        <v>0</v>
      </c>
      <c r="D14" s="38">
        <f>$B14*SUS!F23</f>
        <v>0</v>
      </c>
      <c r="E14" s="38">
        <f>$B14*SUS!G23</f>
        <v>0</v>
      </c>
      <c r="F14" s="38">
        <f>$B14*SUS!H23</f>
        <v>0</v>
      </c>
      <c r="G14" s="38">
        <f>$B14*SUS!I23</f>
        <v>0</v>
      </c>
      <c r="H14" s="38">
        <f>$B14*SUS!J23</f>
        <v>0</v>
      </c>
      <c r="I14" s="38">
        <f>$B14*SUS!K23</f>
        <v>0</v>
      </c>
      <c r="J14" s="38"/>
      <c r="K14" s="38"/>
    </row>
    <row r="15" spans="1:11" ht="12.75">
      <c r="A15" s="32" t="s">
        <v>23</v>
      </c>
      <c r="B15" s="4">
        <v>0</v>
      </c>
      <c r="C15" s="38">
        <f>$B15*SUS!E31</f>
        <v>0</v>
      </c>
      <c r="D15" s="38">
        <f>$B15*SUS!F31</f>
        <v>0</v>
      </c>
      <c r="E15" s="38">
        <f>$B15*SUS!G31</f>
        <v>0</v>
      </c>
      <c r="F15" s="38">
        <f>$B15*SUS!H31</f>
        <v>0</v>
      </c>
      <c r="G15" s="38">
        <f>$B15*SUS!I31</f>
        <v>0</v>
      </c>
      <c r="H15" s="38">
        <f>$B15*SUS!J31</f>
        <v>0</v>
      </c>
      <c r="I15" s="38">
        <f>$B15*SUS!K31</f>
        <v>0</v>
      </c>
      <c r="J15" s="38"/>
      <c r="K15" s="38"/>
    </row>
    <row r="16" spans="1:11" ht="12.75">
      <c r="A16" s="32" t="s">
        <v>24</v>
      </c>
      <c r="B16" s="4">
        <v>0</v>
      </c>
      <c r="C16" s="38">
        <f>$B16*SUS!E39</f>
        <v>0</v>
      </c>
      <c r="D16" s="38">
        <f>$B16*SUS!F39</f>
        <v>0</v>
      </c>
      <c r="E16" s="38">
        <f>$B16*SUS!G39</f>
        <v>0</v>
      </c>
      <c r="F16" s="38">
        <f>$B16*SUS!H39</f>
        <v>0</v>
      </c>
      <c r="G16" s="38">
        <f>$B16*SUS!I39</f>
        <v>0</v>
      </c>
      <c r="H16" s="38">
        <f>$B16*SUS!J39</f>
        <v>0</v>
      </c>
      <c r="I16" s="38">
        <f>$B16*SUS!K39</f>
        <v>0</v>
      </c>
      <c r="J16" s="38"/>
      <c r="K16" s="38"/>
    </row>
    <row r="17" spans="1:11" ht="12.75">
      <c r="A17" s="32" t="s">
        <v>26</v>
      </c>
      <c r="B17" s="4">
        <v>0</v>
      </c>
      <c r="C17" s="38">
        <f>$B17*SUS!E47</f>
        <v>0</v>
      </c>
      <c r="D17" s="38">
        <f>$B17*SUS!F47</f>
        <v>0</v>
      </c>
      <c r="E17" s="38">
        <f>$B17*SUS!G47</f>
        <v>0</v>
      </c>
      <c r="F17" s="38">
        <f>$B17*SUS!H47</f>
        <v>0</v>
      </c>
      <c r="G17" s="38">
        <f>$B17*SUS!I47</f>
        <v>0</v>
      </c>
      <c r="H17" s="38">
        <f>$B17*SUS!J47</f>
        <v>0</v>
      </c>
      <c r="I17" s="38">
        <f>$B17*SUS!K47</f>
        <v>0</v>
      </c>
      <c r="J17" s="38"/>
      <c r="K17" s="38"/>
    </row>
    <row r="18" spans="1:11" ht="12.75">
      <c r="A18" s="32" t="s">
        <v>25</v>
      </c>
      <c r="B18" s="4">
        <v>0</v>
      </c>
      <c r="C18" s="38">
        <f>$B18*SUS!E55</f>
        <v>0</v>
      </c>
      <c r="D18" s="38">
        <f>$B18*SUS!F55</f>
        <v>0</v>
      </c>
      <c r="E18" s="38">
        <f>$B18*SUS!G55</f>
        <v>0</v>
      </c>
      <c r="F18" s="38">
        <f>$B18*SUS!H55</f>
        <v>0</v>
      </c>
      <c r="G18" s="38">
        <f>$B18*SUS!I55</f>
        <v>0</v>
      </c>
      <c r="H18" s="38">
        <f>$B18*SUS!J55</f>
        <v>0</v>
      </c>
      <c r="I18" s="38">
        <f>$B18*SUS!K55</f>
        <v>0</v>
      </c>
      <c r="J18" s="38"/>
      <c r="K18" s="38"/>
    </row>
    <row r="20" ht="12.75">
      <c r="A20" s="8" t="s">
        <v>17</v>
      </c>
    </row>
    <row r="21" spans="1:11" ht="12.75">
      <c r="A21" s="32" t="s">
        <v>112</v>
      </c>
      <c r="B21" s="4">
        <v>1</v>
      </c>
      <c r="C21" s="38">
        <f>$B21*AOS!E5</f>
        <v>0</v>
      </c>
      <c r="D21" s="38">
        <f>$B21*AOS!F5</f>
        <v>0</v>
      </c>
      <c r="E21" s="38">
        <f>$B21*AOS!G5</f>
        <v>0</v>
      </c>
      <c r="F21" s="38">
        <f>$B21*AOS!H5</f>
        <v>0</v>
      </c>
      <c r="G21" s="38">
        <f>$B21*AOS!I5</f>
        <v>0</v>
      </c>
      <c r="H21" s="38">
        <f>$B21*AOS!J5</f>
        <v>0</v>
      </c>
      <c r="I21" s="38">
        <f>$B21*AOS!K5</f>
        <v>207857.6488</v>
      </c>
      <c r="J21" s="38"/>
      <c r="K21" s="38"/>
    </row>
    <row r="22" spans="1:11" ht="12.75">
      <c r="A22" s="32" t="s">
        <v>116</v>
      </c>
      <c r="B22" s="4">
        <v>2</v>
      </c>
      <c r="C22" s="38">
        <f>$B22*AOS!E8</f>
        <v>0</v>
      </c>
      <c r="D22" s="38">
        <f>$B22*AOS!F8</f>
        <v>139428</v>
      </c>
      <c r="E22" s="38">
        <f>$B22*AOS!G8</f>
        <v>0</v>
      </c>
      <c r="F22" s="38">
        <f>$B22*AOS!H8</f>
        <v>0</v>
      </c>
      <c r="G22" s="38">
        <f>$B22*AOS!I8</f>
        <v>0</v>
      </c>
      <c r="H22" s="38">
        <f>$B22*AOS!J8</f>
        <v>0</v>
      </c>
      <c r="I22" s="38">
        <f>$B22*AOS!K8</f>
        <v>78568</v>
      </c>
      <c r="J22" s="38"/>
      <c r="K22" s="38"/>
    </row>
    <row r="23" spans="1:11" ht="12.75">
      <c r="A23" s="32" t="s">
        <v>126</v>
      </c>
      <c r="B23" s="4">
        <v>2</v>
      </c>
      <c r="C23" s="38">
        <f>$B23*AOS!E11</f>
        <v>0</v>
      </c>
      <c r="D23" s="38">
        <f>$B23*AOS!F11</f>
        <v>0</v>
      </c>
      <c r="E23" s="38">
        <f>$B23*AOS!G11</f>
        <v>0</v>
      </c>
      <c r="F23" s="38">
        <f>$B23*AOS!H11</f>
        <v>0</v>
      </c>
      <c r="G23" s="38">
        <f>$B23*AOS!I11</f>
        <v>0</v>
      </c>
      <c r="H23" s="38">
        <f>$B23*AOS!J11</f>
        <v>0</v>
      </c>
      <c r="I23" s="38">
        <f>$B23*AOS!K11</f>
        <v>0</v>
      </c>
      <c r="J23" s="38"/>
      <c r="K23" s="38"/>
    </row>
    <row r="24" spans="1:11" ht="12.75">
      <c r="A24" s="32" t="s">
        <v>118</v>
      </c>
      <c r="B24" s="4">
        <v>0</v>
      </c>
      <c r="C24" s="38">
        <f>$B24*AOS!E14</f>
        <v>0</v>
      </c>
      <c r="D24" s="38">
        <f>$B24*AOS!F14</f>
        <v>0</v>
      </c>
      <c r="E24" s="38">
        <f>$B24*AOS!G14</f>
        <v>0</v>
      </c>
      <c r="F24" s="38">
        <f>$B24*AOS!H14</f>
        <v>0</v>
      </c>
      <c r="G24" s="38">
        <f>$B24*AOS!I14</f>
        <v>0</v>
      </c>
      <c r="H24" s="38">
        <f>$B24*AOS!J14</f>
        <v>0</v>
      </c>
      <c r="I24" s="38">
        <f>$B24*AOS!K14</f>
        <v>0</v>
      </c>
      <c r="J24" s="38"/>
      <c r="K24" s="38"/>
    </row>
    <row r="25" spans="1:11" ht="12.75">
      <c r="A25" s="32" t="s">
        <v>119</v>
      </c>
      <c r="B25" s="4">
        <v>0</v>
      </c>
      <c r="C25" s="38">
        <f>$B25*AOS!E17</f>
        <v>0</v>
      </c>
      <c r="D25" s="38">
        <f>$B25*AOS!F17</f>
        <v>0</v>
      </c>
      <c r="E25" s="38">
        <f>$B25*AOS!G17</f>
        <v>0</v>
      </c>
      <c r="F25" s="38">
        <f>$B25*AOS!H17</f>
        <v>0</v>
      </c>
      <c r="G25" s="38">
        <f>$B25*AOS!I17</f>
        <v>0</v>
      </c>
      <c r="H25" s="38">
        <f>$B25*AOS!J17</f>
        <v>0</v>
      </c>
      <c r="I25" s="38">
        <f>$B25*AOS!K17</f>
        <v>0</v>
      </c>
      <c r="J25" s="38"/>
      <c r="K25" s="38"/>
    </row>
    <row r="26" spans="1:11" ht="12.75">
      <c r="A26" s="32" t="s">
        <v>120</v>
      </c>
      <c r="B26" s="4">
        <v>0</v>
      </c>
      <c r="C26" s="38">
        <f>$B26*AOS!E20</f>
        <v>0</v>
      </c>
      <c r="D26" s="38">
        <f>$B26*AOS!F20</f>
        <v>0</v>
      </c>
      <c r="E26" s="38">
        <f>$B26*AOS!G20</f>
        <v>0</v>
      </c>
      <c r="F26" s="38">
        <f>$B26*AOS!H20</f>
        <v>0</v>
      </c>
      <c r="G26" s="38">
        <f>$B26*AOS!I20</f>
        <v>0</v>
      </c>
      <c r="H26" s="38">
        <f>$B26*AOS!J20</f>
        <v>0</v>
      </c>
      <c r="I26" s="38">
        <f>$B26*AOS!K20</f>
        <v>0</v>
      </c>
      <c r="J26" s="38"/>
      <c r="K26" s="38"/>
    </row>
    <row r="27" spans="1:11" ht="12.75">
      <c r="A27" s="32" t="s">
        <v>121</v>
      </c>
      <c r="B27" s="4">
        <v>0</v>
      </c>
      <c r="C27" s="38">
        <f>$B27*AOS!E28</f>
        <v>0</v>
      </c>
      <c r="D27" s="38">
        <f>$B27*AOS!F28</f>
        <v>0</v>
      </c>
      <c r="E27" s="38">
        <f>$B27*AOS!G28</f>
        <v>0</v>
      </c>
      <c r="F27" s="38">
        <f>$B27*AOS!H28</f>
        <v>0</v>
      </c>
      <c r="G27" s="38">
        <f>$B27*AOS!I28</f>
        <v>0</v>
      </c>
      <c r="H27" s="38">
        <f>$B27*AOS!J28</f>
        <v>0</v>
      </c>
      <c r="I27" s="38">
        <f>$B27*AOS!K28</f>
        <v>0</v>
      </c>
      <c r="J27" s="38"/>
      <c r="K27" s="38"/>
    </row>
    <row r="29" spans="1:11" ht="12.75">
      <c r="A29" s="8" t="s">
        <v>19</v>
      </c>
      <c r="B29" s="4">
        <v>2</v>
      </c>
      <c r="C29" s="38">
        <f>B29*WIRE!B8</f>
        <v>44424.54458181818</v>
      </c>
      <c r="D29" s="38">
        <f>B29*WIRE!C8</f>
        <v>0</v>
      </c>
      <c r="E29" s="38">
        <f>B29*WIRE!D8</f>
        <v>0</v>
      </c>
      <c r="F29" s="38">
        <f>B29*WIRE!E8</f>
        <v>37330.130618181814</v>
      </c>
      <c r="G29" s="38">
        <f>B29*WIRE!F8</f>
        <v>178204.92218181817</v>
      </c>
      <c r="H29" s="38">
        <f>B29*WIRE!G8</f>
        <v>0</v>
      </c>
      <c r="I29" s="38"/>
      <c r="J29" s="38"/>
      <c r="K29" s="38"/>
    </row>
    <row r="32" spans="1:13" s="23" customFormat="1" ht="12.75">
      <c r="A32" s="89" t="s">
        <v>152</v>
      </c>
      <c r="B32" s="21"/>
      <c r="C32" s="39">
        <f aca="true" t="shared" si="0" ref="C32:J32">SUM(C5:C31)</f>
        <v>2096393.026657461</v>
      </c>
      <c r="D32" s="39">
        <f t="shared" si="0"/>
        <v>2330901.0364</v>
      </c>
      <c r="E32" s="39">
        <f t="shared" si="0"/>
        <v>15513.8528</v>
      </c>
      <c r="F32" s="39">
        <f t="shared" si="0"/>
        <v>39368.836218181816</v>
      </c>
      <c r="G32" s="39">
        <f t="shared" si="0"/>
        <v>189817.80218181817</v>
      </c>
      <c r="H32" s="39">
        <f t="shared" si="0"/>
        <v>1677.810438566721</v>
      </c>
      <c r="I32" s="39">
        <f t="shared" si="0"/>
        <v>286425.64879999997</v>
      </c>
      <c r="J32" s="39">
        <f t="shared" si="0"/>
        <v>3</v>
      </c>
      <c r="K32" s="39">
        <v>3.6</v>
      </c>
      <c r="M32" s="21"/>
    </row>
    <row r="35" spans="1:15" s="7" customFormat="1" ht="12.75">
      <c r="A35" s="16"/>
      <c r="B35" s="34"/>
      <c r="C35" s="40"/>
      <c r="D35" s="35"/>
      <c r="E35" s="40"/>
      <c r="G35" s="40"/>
      <c r="J35" s="72"/>
      <c r="K35" s="72"/>
      <c r="M35" s="34"/>
      <c r="N35" s="36" t="s">
        <v>49</v>
      </c>
      <c r="O35" s="36" t="s">
        <v>50</v>
      </c>
    </row>
    <row r="36" spans="1:15" ht="25.5">
      <c r="A36" s="8" t="s">
        <v>44</v>
      </c>
      <c r="B36" s="2" t="s">
        <v>77</v>
      </c>
      <c r="C36" s="3" t="s">
        <v>43</v>
      </c>
      <c r="D36" s="3" t="s">
        <v>10</v>
      </c>
      <c r="E36" s="3" t="s">
        <v>20</v>
      </c>
      <c r="F36" s="3" t="s">
        <v>1</v>
      </c>
      <c r="G36" s="3" t="s">
        <v>2</v>
      </c>
      <c r="H36" s="3" t="s">
        <v>3</v>
      </c>
      <c r="I36" s="12" t="s">
        <v>113</v>
      </c>
      <c r="J36" s="12" t="s">
        <v>143</v>
      </c>
      <c r="K36" s="88" t="s">
        <v>150</v>
      </c>
      <c r="L36" s="12" t="s">
        <v>45</v>
      </c>
      <c r="M36" s="12" t="s">
        <v>48</v>
      </c>
      <c r="N36" s="3" t="s">
        <v>46</v>
      </c>
      <c r="O36" s="3" t="s">
        <v>46</v>
      </c>
    </row>
    <row r="37" spans="1:15" s="27" customFormat="1" ht="12.75">
      <c r="A37" s="10" t="s">
        <v>38</v>
      </c>
      <c r="B37" s="29">
        <v>3.8E-06</v>
      </c>
      <c r="C37" s="29">
        <f>C$32*Summary!C11</f>
        <v>2.0963930266574607E-05</v>
      </c>
      <c r="D37" s="29">
        <f>D$32*Summary!D11</f>
        <v>2.3309010364E-05</v>
      </c>
      <c r="E37" s="29">
        <f>E$32*Summary!E11</f>
        <v>1.55138528E-06</v>
      </c>
      <c r="F37" s="29">
        <f>F$32*Summary!F11</f>
        <v>3.9368836218181815E-06</v>
      </c>
      <c r="G37" s="29">
        <f>G$32*Summary!G11</f>
        <v>1.8981780218181817E-05</v>
      </c>
      <c r="H37" s="29">
        <f>H$32*Summary!H11</f>
        <v>1.6778104385667209E-07</v>
      </c>
      <c r="I37" s="29">
        <f>I$32*Summary!I11</f>
        <v>1.9763369767199996E-07</v>
      </c>
      <c r="J37" s="29">
        <f>J$32*Summary!J11</f>
        <v>0</v>
      </c>
      <c r="K37" s="29">
        <f>K$32*Summary!K11</f>
        <v>4.396919786096257E-12</v>
      </c>
      <c r="L37" s="28">
        <f>SUM(B37:K37)</f>
        <v>7.290840888902306E-05</v>
      </c>
      <c r="M37" s="4">
        <f>1*4200</f>
        <v>4200</v>
      </c>
      <c r="N37" s="28">
        <f>L37/M37</f>
        <v>1.735914497357692E-08</v>
      </c>
      <c r="O37" s="28">
        <f>L37/M37</f>
        <v>1.735914497357692E-08</v>
      </c>
    </row>
    <row r="38" spans="1:15" ht="12.75">
      <c r="A38" s="10" t="s">
        <v>37</v>
      </c>
      <c r="B38" s="27"/>
      <c r="C38" s="29">
        <f>C$32*Summary!C12</f>
        <v>0.00010481965133287305</v>
      </c>
      <c r="D38" s="29">
        <f>D$32*Summary!D12</f>
        <v>0.00011654505182000001</v>
      </c>
      <c r="E38" s="29">
        <f>E$32*Summary!E12</f>
        <v>4.65415584E-05</v>
      </c>
      <c r="F38" s="29">
        <f>F$32*Summary!F12</f>
        <v>0.00011810650865454544</v>
      </c>
      <c r="G38" s="29">
        <f>G$32*Summary!G12</f>
        <v>0.0005694534065454546</v>
      </c>
      <c r="H38" s="29">
        <f>H$32*Summary!H12</f>
        <v>5.033431315700163E-06</v>
      </c>
      <c r="I38" s="29">
        <f>I$32*Summary!I12</f>
        <v>1.4321282439999998E-08</v>
      </c>
      <c r="J38" s="29">
        <f>J$32*Summary!J12</f>
        <v>0</v>
      </c>
      <c r="K38" s="29">
        <f>K$32*Summary!K12</f>
        <v>0</v>
      </c>
      <c r="L38" s="28">
        <f aca="true" t="shared" si="1" ref="L38:L43">SUM(B38:K38)</f>
        <v>0.0009605139293510132</v>
      </c>
      <c r="M38" s="4">
        <f>1*142000</f>
        <v>142000</v>
      </c>
      <c r="N38" s="28">
        <f>L38/M38</f>
        <v>6.7641826010634735E-09</v>
      </c>
      <c r="O38" s="28"/>
    </row>
    <row r="39" spans="1:15" ht="12.75">
      <c r="A39" s="10" t="s">
        <v>42</v>
      </c>
      <c r="B39" s="27"/>
      <c r="C39" s="29">
        <f>C$32*Summary!C13</f>
        <v>1.0481965133287304E-05</v>
      </c>
      <c r="D39" s="29">
        <f>D$32*Summary!D13</f>
        <v>1.1654505182E-05</v>
      </c>
      <c r="E39" s="29">
        <f>E$32*Summary!E13</f>
        <v>1.5513852800000002E-05</v>
      </c>
      <c r="F39" s="29">
        <f>F$32*Summary!F13</f>
        <v>3.9368836218181816E-05</v>
      </c>
      <c r="G39" s="29">
        <f>G$32*Summary!G13</f>
        <v>0.00018981780218181818</v>
      </c>
      <c r="H39" s="29">
        <f>H$32*Summary!H13</f>
        <v>1.677810438566721E-06</v>
      </c>
      <c r="I39" s="29">
        <f>I$32*Summary!I13</f>
        <v>1.4321282439999999E-09</v>
      </c>
      <c r="J39" s="29">
        <f>J$32*Summary!J13</f>
        <v>0</v>
      </c>
      <c r="K39" s="29">
        <f>K$32*Summary!K13</f>
        <v>8.026524064171123E-12</v>
      </c>
      <c r="L39" s="28">
        <f t="shared" si="1"/>
        <v>0.0002685162121086221</v>
      </c>
      <c r="M39" s="4">
        <f>1*142000</f>
        <v>142000</v>
      </c>
      <c r="N39" s="28"/>
      <c r="O39" s="28">
        <f>L39/M39</f>
        <v>1.8909592402015642E-09</v>
      </c>
    </row>
    <row r="40" spans="1:15" ht="12.75">
      <c r="A40" s="10" t="s">
        <v>39</v>
      </c>
      <c r="B40" s="27"/>
      <c r="C40" s="29">
        <f>C$32*Summary!C14</f>
        <v>0</v>
      </c>
      <c r="D40" s="29">
        <f>D$32*Summary!D14</f>
        <v>0</v>
      </c>
      <c r="E40" s="29">
        <f>E$32*Summary!E14</f>
        <v>0</v>
      </c>
      <c r="F40" s="29">
        <f>F$32*Summary!F14</f>
        <v>0</v>
      </c>
      <c r="G40" s="29">
        <f>G$32*Summary!G14</f>
        <v>0</v>
      </c>
      <c r="H40" s="29">
        <f>H$32*Summary!H14</f>
        <v>0</v>
      </c>
      <c r="I40" s="29">
        <f>I$32*Summary!I14</f>
        <v>6.874215571199999E-09</v>
      </c>
      <c r="J40" s="29">
        <f>J$32*Summary!J14</f>
        <v>2.9752066115702483E-06</v>
      </c>
      <c r="K40" s="29">
        <f>K$32*Summary!K14</f>
        <v>7.521711229946524E-11</v>
      </c>
      <c r="L40" s="28">
        <f t="shared" si="1"/>
        <v>2.982156044253748E-06</v>
      </c>
      <c r="M40" s="4">
        <f>1*2000</f>
        <v>2000</v>
      </c>
      <c r="N40" s="28">
        <f>L40/M40</f>
        <v>1.491078022126874E-09</v>
      </c>
      <c r="O40" s="28">
        <f>L40/M40</f>
        <v>1.491078022126874E-09</v>
      </c>
    </row>
    <row r="41" spans="1:15" ht="12.75">
      <c r="A41" s="10" t="s">
        <v>40</v>
      </c>
      <c r="B41" s="27"/>
      <c r="C41" s="29">
        <f>C$32*Summary!C15</f>
        <v>0</v>
      </c>
      <c r="D41" s="29">
        <f>D$32*Summary!D15</f>
        <v>0</v>
      </c>
      <c r="E41" s="29">
        <f>E$32*Summary!E15</f>
        <v>0</v>
      </c>
      <c r="F41" s="29">
        <f>F$32*Summary!F15</f>
        <v>0</v>
      </c>
      <c r="G41" s="29">
        <f>G$32*Summary!G15</f>
        <v>0</v>
      </c>
      <c r="H41" s="29">
        <f>H$32*Summary!H15</f>
        <v>0</v>
      </c>
      <c r="I41" s="29">
        <f>I$32*Summary!I15</f>
        <v>1.60398363328E-09</v>
      </c>
      <c r="J41" s="29">
        <f>J$32*Summary!J15</f>
        <v>0</v>
      </c>
      <c r="K41" s="29">
        <f>K$32*Summary!K15</f>
        <v>0</v>
      </c>
      <c r="L41" s="28">
        <f t="shared" si="1"/>
        <v>1.60398363328E-09</v>
      </c>
      <c r="M41" s="4">
        <f>1*2000</f>
        <v>2000</v>
      </c>
      <c r="N41" s="28">
        <f>L41/M41</f>
        <v>8.0199181664E-13</v>
      </c>
      <c r="O41" s="28">
        <f>L41/M41</f>
        <v>8.0199181664E-13</v>
      </c>
    </row>
    <row r="42" spans="1:15" ht="12.75">
      <c r="A42" s="10" t="s">
        <v>41</v>
      </c>
      <c r="B42" s="27"/>
      <c r="C42" s="29">
        <f>C$32*Summary!C16</f>
        <v>0</v>
      </c>
      <c r="D42" s="29">
        <f>D$32*Summary!D16</f>
        <v>0</v>
      </c>
      <c r="E42" s="29">
        <f>E$32*Summary!E16</f>
        <v>0</v>
      </c>
      <c r="F42" s="29">
        <f>F$32*Summary!F16</f>
        <v>0</v>
      </c>
      <c r="G42" s="29">
        <f>G$32*Summary!G16</f>
        <v>0</v>
      </c>
      <c r="H42" s="29">
        <f>H$32*Summary!H16</f>
        <v>0</v>
      </c>
      <c r="I42" s="29">
        <f>I$32*Summary!I16</f>
        <v>1.3175579844799997E-09</v>
      </c>
      <c r="J42" s="29">
        <f>J$32*Summary!J16</f>
        <v>0</v>
      </c>
      <c r="K42" s="29">
        <f>K$32*Summary!K16</f>
        <v>1.1156363636363636E-10</v>
      </c>
      <c r="L42" s="28">
        <f t="shared" si="1"/>
        <v>1.429121620843636E-09</v>
      </c>
      <c r="M42" s="4">
        <f>1*2000</f>
        <v>2000</v>
      </c>
      <c r="N42" s="28">
        <f>L42/M42</f>
        <v>7.14560810421818E-13</v>
      </c>
      <c r="O42" s="28">
        <f>L42/M42</f>
        <v>7.14560810421818E-13</v>
      </c>
    </row>
    <row r="43" spans="1:16" ht="12.75">
      <c r="A43" s="90" t="s">
        <v>141</v>
      </c>
      <c r="C43" s="29">
        <f>C$32*Summary!C17</f>
        <v>0</v>
      </c>
      <c r="D43" s="29">
        <f>D$32*Summary!D17</f>
        <v>0</v>
      </c>
      <c r="E43" s="29">
        <f>E$32*Summary!E17</f>
        <v>0</v>
      </c>
      <c r="F43" s="29">
        <f>F$32*Summary!F17</f>
        <v>0</v>
      </c>
      <c r="G43" s="29">
        <f>G$32*Summary!G17</f>
        <v>0</v>
      </c>
      <c r="H43" s="29">
        <f>H$32*Summary!H17</f>
        <v>0</v>
      </c>
      <c r="I43" s="29">
        <f>I$32*Summary!I17</f>
        <v>3.4371077855999994E-11</v>
      </c>
      <c r="J43" s="29">
        <f>J$32*Summary!J17</f>
        <v>0</v>
      </c>
      <c r="K43" s="29">
        <f>K$32*Summary!K17</f>
        <v>1.8073813903743318E-12</v>
      </c>
      <c r="L43" s="28">
        <f t="shared" si="1"/>
        <v>3.6178459246374324E-11</v>
      </c>
      <c r="M43" s="4">
        <v>1700</v>
      </c>
      <c r="N43" s="28">
        <f>L43/M43</f>
        <v>2.128144661551431E-14</v>
      </c>
      <c r="O43" s="28">
        <f>L43/M43</f>
        <v>2.128144661551431E-14</v>
      </c>
      <c r="P43" s="28"/>
    </row>
    <row r="45" spans="1:15" s="23" customFormat="1" ht="12.75">
      <c r="A45" s="33" t="s">
        <v>47</v>
      </c>
      <c r="B45" s="21"/>
      <c r="C45" s="39"/>
      <c r="D45" s="30"/>
      <c r="E45" s="39"/>
      <c r="G45" s="39"/>
      <c r="M45" s="21"/>
      <c r="N45" s="41">
        <f>SUM(N37:N44)</f>
        <v>2.5615943430840944E-08</v>
      </c>
      <c r="O45" s="41">
        <f>SUM(O37:O44)</f>
        <v>2.0742720069979036E-08</v>
      </c>
    </row>
    <row r="47" spans="1:13" s="7" customFormat="1" ht="12.75">
      <c r="A47" s="16"/>
      <c r="B47" s="34"/>
      <c r="C47" s="40"/>
      <c r="D47" s="35"/>
      <c r="E47" s="40"/>
      <c r="G47" s="40"/>
      <c r="M47" s="34"/>
    </row>
  </sheetData>
  <sheetProtection/>
  <mergeCells count="1">
    <mergeCell ref="C2:I2"/>
  </mergeCells>
  <printOptions/>
  <pageMargins left="0.75" right="0.75" top="1" bottom="1" header="0.5" footer="0.5"/>
  <pageSetup fitToHeight="1" fitToWidth="1" orientation="landscape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G3" sqref="G3"/>
    </sheetView>
  </sheetViews>
  <sheetFormatPr defaultColWidth="11.00390625" defaultRowHeight="12.75"/>
  <cols>
    <col min="1" max="1" width="22.25390625" style="9" customWidth="1"/>
    <col min="2" max="2" width="10.75390625" style="1" customWidth="1"/>
    <col min="3" max="3" width="11.625" style="1" bestFit="1" customWidth="1"/>
    <col min="4" max="6" width="10.75390625" style="1" customWidth="1"/>
    <col min="7" max="7" width="11.75390625" style="1" customWidth="1"/>
  </cols>
  <sheetData>
    <row r="2" spans="1:7" s="2" customFormat="1" ht="12.75">
      <c r="A2" s="8"/>
      <c r="B2" s="3" t="s">
        <v>0</v>
      </c>
      <c r="C2" s="3" t="s">
        <v>10</v>
      </c>
      <c r="D2" s="3" t="s">
        <v>20</v>
      </c>
      <c r="E2" s="3" t="s">
        <v>1</v>
      </c>
      <c r="F2" s="3" t="s">
        <v>2</v>
      </c>
      <c r="G2" s="3" t="s">
        <v>87</v>
      </c>
    </row>
    <row r="3" spans="1:7" s="2" customFormat="1" ht="12.75">
      <c r="A3" s="8" t="s">
        <v>4</v>
      </c>
      <c r="B3" s="3" t="s">
        <v>11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</row>
    <row r="5" spans="1:3" ht="12.75">
      <c r="A5" s="9" t="s">
        <v>6</v>
      </c>
      <c r="C5" s="1">
        <f>122448*2.54*2.54</f>
        <v>789985.5168</v>
      </c>
    </row>
    <row r="6" spans="1:6" ht="12.75">
      <c r="A6" s="10" t="s">
        <v>7</v>
      </c>
      <c r="F6" s="1">
        <f>6*100*2.54*2.54</f>
        <v>3870.96</v>
      </c>
    </row>
    <row r="7" spans="1:2" ht="12.75">
      <c r="A7" s="10" t="s">
        <v>8</v>
      </c>
      <c r="B7" s="1">
        <f>PI()*20*300*2</f>
        <v>37699.11184307752</v>
      </c>
    </row>
    <row r="8" ht="12.75">
      <c r="A8" s="10"/>
    </row>
    <row r="9" spans="1:7" s="7" customFormat="1" ht="12.75">
      <c r="A9" s="11" t="s">
        <v>21</v>
      </c>
      <c r="B9" s="6">
        <f>SUM(B5:B8)</f>
        <v>37699.11184307752</v>
      </c>
      <c r="C9" s="6">
        <f>SUM(C5:C8)</f>
        <v>789985.5168</v>
      </c>
      <c r="D9" s="6"/>
      <c r="E9" s="6"/>
      <c r="F9" s="6">
        <f>SUM(F5:F8)</f>
        <v>3870.96</v>
      </c>
      <c r="G9" s="6"/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7" spans="1:3" ht="12.75">
      <c r="A17" s="9" t="s">
        <v>5</v>
      </c>
      <c r="C17" s="1">
        <f>168000*2.54*2.54</f>
        <v>1083868.8</v>
      </c>
    </row>
    <row r="18" spans="1:6" ht="12.75">
      <c r="A18" s="10" t="s">
        <v>7</v>
      </c>
      <c r="F18" s="1">
        <f>6*100*2.54*2.54</f>
        <v>3870.96</v>
      </c>
    </row>
    <row r="19" spans="1:6" ht="12.75">
      <c r="A19" s="10" t="s">
        <v>9</v>
      </c>
      <c r="F19" s="1">
        <f>6*50*2.54*2.54</f>
        <v>1935.48</v>
      </c>
    </row>
    <row r="20" spans="1:2" ht="12.75">
      <c r="A20" s="10" t="s">
        <v>8</v>
      </c>
      <c r="B20" s="1">
        <f>PI()*25*350*2</f>
        <v>54977.871437821384</v>
      </c>
    </row>
    <row r="21" ht="12.75">
      <c r="A21" s="10"/>
    </row>
    <row r="22" spans="1:7" s="7" customFormat="1" ht="12.75">
      <c r="A22" s="11" t="s">
        <v>21</v>
      </c>
      <c r="B22" s="6">
        <f>SUM(B17:B21)</f>
        <v>54977.871437821384</v>
      </c>
      <c r="C22" s="6">
        <f>SUM(C17:C21)</f>
        <v>1083868.8</v>
      </c>
      <c r="D22" s="6"/>
      <c r="E22" s="6"/>
      <c r="F22" s="6">
        <f>SUM(F17:F21)</f>
        <v>5806.4400000000005</v>
      </c>
      <c r="G22" s="6"/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F43" sqref="F43"/>
    </sheetView>
  </sheetViews>
  <sheetFormatPr defaultColWidth="11.00390625" defaultRowHeight="12.75"/>
  <cols>
    <col min="1" max="1" width="22.25390625" style="9" customWidth="1"/>
    <col min="2" max="2" width="9.75390625" style="49" customWidth="1"/>
    <col min="3" max="3" width="10.375" style="49" customWidth="1"/>
    <col min="4" max="4" width="5.00390625" style="49" customWidth="1"/>
    <col min="5" max="5" width="10.75390625" style="1" customWidth="1"/>
    <col min="6" max="6" width="11.625" style="1" customWidth="1"/>
    <col min="7" max="9" width="10.75390625" style="1" customWidth="1"/>
    <col min="10" max="10" width="12.50390625" style="1" customWidth="1"/>
    <col min="11" max="11" width="22.875" style="0" customWidth="1"/>
  </cols>
  <sheetData>
    <row r="1" spans="1:11" s="2" customFormat="1" ht="12.75">
      <c r="A1" s="8"/>
      <c r="B1" s="45"/>
      <c r="C1" s="45"/>
      <c r="D1" s="45"/>
      <c r="E1" s="3" t="s">
        <v>0</v>
      </c>
      <c r="F1" s="3" t="s">
        <v>10</v>
      </c>
      <c r="G1" s="3" t="s">
        <v>20</v>
      </c>
      <c r="H1" s="3" t="s">
        <v>1</v>
      </c>
      <c r="I1" s="3" t="s">
        <v>2</v>
      </c>
      <c r="J1" s="3" t="s">
        <v>87</v>
      </c>
      <c r="K1" s="2" t="s">
        <v>105</v>
      </c>
    </row>
    <row r="2" spans="1:10" s="2" customFormat="1" ht="12.75">
      <c r="A2" s="8" t="s">
        <v>29</v>
      </c>
      <c r="B2" s="45" t="s">
        <v>78</v>
      </c>
      <c r="C2" s="45" t="s">
        <v>83</v>
      </c>
      <c r="D2" s="45" t="s">
        <v>85</v>
      </c>
      <c r="E2" s="3" t="s">
        <v>11</v>
      </c>
      <c r="F2" s="3" t="s">
        <v>11</v>
      </c>
      <c r="G2" s="3" t="s">
        <v>11</v>
      </c>
      <c r="H2" s="3" t="s">
        <v>11</v>
      </c>
      <c r="I2" s="3" t="s">
        <v>11</v>
      </c>
      <c r="J2" s="3" t="s">
        <v>11</v>
      </c>
    </row>
    <row r="3" ht="12.75">
      <c r="D3" s="52"/>
    </row>
    <row r="4" spans="1:10" s="7" customFormat="1" ht="12.75">
      <c r="A4" s="16" t="s">
        <v>27</v>
      </c>
      <c r="B4" s="50" t="s">
        <v>79</v>
      </c>
      <c r="C4" s="50" t="s">
        <v>84</v>
      </c>
      <c r="D4" s="51">
        <v>1</v>
      </c>
      <c r="E4" s="6">
        <f>(6252+104)*2.54*2.54</f>
        <v>41006.3696</v>
      </c>
      <c r="F4" s="6">
        <f>1839.5*2.54*2.54</f>
        <v>11867.7182</v>
      </c>
      <c r="G4" s="6"/>
      <c r="H4" s="6">
        <f>158*2.54*2.54</f>
        <v>1019.3528</v>
      </c>
      <c r="I4" s="6"/>
      <c r="J4" s="6"/>
    </row>
    <row r="5" spans="1:7" ht="12.75">
      <c r="A5" s="10" t="s">
        <v>80</v>
      </c>
      <c r="B5" s="53" t="s">
        <v>81</v>
      </c>
      <c r="C5" s="45"/>
      <c r="D5" s="51">
        <v>8</v>
      </c>
      <c r="G5" s="1">
        <f>8*4.59</f>
        <v>36.72</v>
      </c>
    </row>
    <row r="6" spans="1:7" ht="12.75">
      <c r="A6" s="10" t="s">
        <v>80</v>
      </c>
      <c r="B6" s="54" t="s">
        <v>86</v>
      </c>
      <c r="C6" s="45"/>
      <c r="D6" s="51">
        <v>36</v>
      </c>
      <c r="G6" s="1">
        <f>D6*5.4</f>
        <v>194.4</v>
      </c>
    </row>
    <row r="7" spans="1:11" ht="12.75">
      <c r="A7" s="8"/>
      <c r="B7" s="54" t="s">
        <v>89</v>
      </c>
      <c r="C7" s="45"/>
      <c r="D7" s="51">
        <v>8</v>
      </c>
      <c r="J7" s="1">
        <f>D7*(2*PI()*(1.2029^2-0.8015^2)+1.7*PI()*(1.2029+0.8015))</f>
        <v>126.0812192833604</v>
      </c>
      <c r="K7" t="s">
        <v>97</v>
      </c>
    </row>
    <row r="8" spans="1:11" ht="12.75">
      <c r="A8" s="8"/>
      <c r="B8" s="54" t="s">
        <v>90</v>
      </c>
      <c r="C8" s="45"/>
      <c r="D8" s="51">
        <v>2</v>
      </c>
      <c r="J8" s="1">
        <f>D8*2*(1*0.53+0.53*15.25+1*15.25)</f>
        <v>95.44999999999999</v>
      </c>
      <c r="K8" t="s">
        <v>97</v>
      </c>
    </row>
    <row r="9" spans="1:11" ht="12.75">
      <c r="A9" s="8"/>
      <c r="B9" s="54" t="s">
        <v>91</v>
      </c>
      <c r="C9" s="45"/>
      <c r="D9" s="51">
        <v>2</v>
      </c>
      <c r="J9" s="1">
        <f>D9*2*(1*0.53+0.53*10.75+10.75*1)</f>
        <v>67.91</v>
      </c>
      <c r="K9" t="s">
        <v>97</v>
      </c>
    </row>
    <row r="10" spans="1:11" ht="12.75">
      <c r="A10" s="8"/>
      <c r="B10" s="54" t="s">
        <v>92</v>
      </c>
      <c r="C10" s="45"/>
      <c r="D10" s="51">
        <v>2</v>
      </c>
      <c r="J10" s="1">
        <f>D10*2*(2.2*2.89+2.3*1.5+22.25*0.94+22.25*2.2)</f>
        <v>318.692</v>
      </c>
      <c r="K10" t="s">
        <v>97</v>
      </c>
    </row>
    <row r="11" spans="1:11" ht="12.75">
      <c r="A11" s="8"/>
      <c r="B11" s="54" t="s">
        <v>93</v>
      </c>
      <c r="C11" s="45"/>
      <c r="D11" s="51">
        <v>2</v>
      </c>
      <c r="J11" s="1">
        <f>D11*2*(2.2*2.89+2.3*1.5+15.25*0.94+15.25*2.2)</f>
        <v>230.77200000000002</v>
      </c>
      <c r="K11" t="s">
        <v>97</v>
      </c>
    </row>
    <row r="12" spans="1:11" ht="12.75">
      <c r="A12" s="10"/>
      <c r="B12" s="54" t="s">
        <v>94</v>
      </c>
      <c r="C12" s="46"/>
      <c r="D12" s="51">
        <v>6</v>
      </c>
      <c r="J12" s="1">
        <v>0</v>
      </c>
      <c r="K12" t="s">
        <v>96</v>
      </c>
    </row>
    <row r="13" spans="1:11" ht="12.75">
      <c r="A13" s="10"/>
      <c r="B13" s="54" t="s">
        <v>95</v>
      </c>
      <c r="C13" s="46"/>
      <c r="D13" s="51">
        <v>12</v>
      </c>
      <c r="J13" s="1">
        <v>0</v>
      </c>
      <c r="K13" t="s">
        <v>96</v>
      </c>
    </row>
    <row r="14" spans="1:11" ht="12.75">
      <c r="A14" s="10"/>
      <c r="B14" s="56" t="s">
        <v>104</v>
      </c>
      <c r="C14" s="46"/>
      <c r="D14" s="51">
        <v>2</v>
      </c>
      <c r="E14" s="14"/>
      <c r="F14" s="14"/>
      <c r="G14" s="14">
        <f>D14*2*2.54^2</f>
        <v>25.8064</v>
      </c>
      <c r="K14" t="s">
        <v>106</v>
      </c>
    </row>
    <row r="15" spans="1:10" s="20" customFormat="1" ht="12.75">
      <c r="A15" s="18" t="s">
        <v>21</v>
      </c>
      <c r="B15" s="55"/>
      <c r="C15" s="47"/>
      <c r="D15" s="47"/>
      <c r="E15" s="19">
        <f aca="true" t="shared" si="0" ref="E15:J15">SUM(E4:E14)</f>
        <v>41006.3696</v>
      </c>
      <c r="F15" s="19">
        <f t="shared" si="0"/>
        <v>11867.7182</v>
      </c>
      <c r="G15" s="19">
        <f t="shared" si="0"/>
        <v>256.9264</v>
      </c>
      <c r="H15" s="19">
        <f t="shared" si="0"/>
        <v>1019.3528</v>
      </c>
      <c r="I15" s="19">
        <f t="shared" si="0"/>
        <v>0</v>
      </c>
      <c r="J15" s="19">
        <f t="shared" si="0"/>
        <v>838.9052192833605</v>
      </c>
    </row>
    <row r="16" spans="1:4" ht="12.75">
      <c r="A16" s="10"/>
      <c r="B16" s="46"/>
      <c r="C16" s="46"/>
      <c r="D16" s="46"/>
    </row>
    <row r="17" spans="1:4" ht="12.75">
      <c r="A17" s="10"/>
      <c r="B17" s="46"/>
      <c r="C17" s="46"/>
      <c r="D17" s="57"/>
    </row>
    <row r="18" spans="1:10" s="7" customFormat="1" ht="12.75">
      <c r="A18" s="17" t="s">
        <v>22</v>
      </c>
      <c r="B18" s="56" t="s">
        <v>98</v>
      </c>
      <c r="C18" s="48"/>
      <c r="D18" s="51">
        <v>1</v>
      </c>
      <c r="E18" s="6">
        <f>(6252+104)*2.54*2.54</f>
        <v>41006.3696</v>
      </c>
      <c r="F18" s="6">
        <f>1839.5*2.54*2.54</f>
        <v>11867.7182</v>
      </c>
      <c r="G18" s="6">
        <f>14.8*2.54*2.54</f>
        <v>95.48368000000002</v>
      </c>
      <c r="H18" s="6">
        <f>158*2.54*2.54</f>
        <v>1019.3528</v>
      </c>
      <c r="I18" s="6"/>
      <c r="J18" s="6"/>
    </row>
    <row r="19" spans="1:4" ht="12.75">
      <c r="A19" s="10" t="s">
        <v>80</v>
      </c>
      <c r="B19" s="46"/>
      <c r="C19" s="46"/>
      <c r="D19" s="51">
        <v>2</v>
      </c>
    </row>
    <row r="20" spans="1:11" ht="12.75">
      <c r="A20" s="10" t="s">
        <v>103</v>
      </c>
      <c r="B20" s="56" t="s">
        <v>104</v>
      </c>
      <c r="C20" s="46"/>
      <c r="D20" s="51">
        <v>2</v>
      </c>
      <c r="E20" s="14"/>
      <c r="F20" s="14"/>
      <c r="G20" s="14">
        <f>D20*2*2.54^2</f>
        <v>25.8064</v>
      </c>
      <c r="K20" t="s">
        <v>106</v>
      </c>
    </row>
    <row r="21" spans="1:4" ht="12.75">
      <c r="A21" s="10"/>
      <c r="B21" s="46"/>
      <c r="C21" s="46"/>
      <c r="D21" s="46"/>
    </row>
    <row r="22" spans="1:4" ht="12.75">
      <c r="A22" s="10"/>
      <c r="B22" s="46"/>
      <c r="C22" s="46"/>
      <c r="D22" s="46"/>
    </row>
    <row r="23" spans="1:10" s="20" customFormat="1" ht="12.75">
      <c r="A23" s="18" t="s">
        <v>21</v>
      </c>
      <c r="B23" s="47"/>
      <c r="C23" s="47"/>
      <c r="D23" s="47"/>
      <c r="E23" s="19">
        <f aca="true" t="shared" si="1" ref="E23:J23">SUM(E18:E22)</f>
        <v>41006.3696</v>
      </c>
      <c r="F23" s="19">
        <f t="shared" si="1"/>
        <v>11867.7182</v>
      </c>
      <c r="G23" s="19">
        <f t="shared" si="1"/>
        <v>121.29008000000002</v>
      </c>
      <c r="H23" s="19">
        <f t="shared" si="1"/>
        <v>1019.3528</v>
      </c>
      <c r="I23" s="19">
        <f t="shared" si="1"/>
        <v>0</v>
      </c>
      <c r="J23" s="19">
        <f t="shared" si="1"/>
        <v>0</v>
      </c>
    </row>
    <row r="25" ht="12.75">
      <c r="D25" s="52"/>
    </row>
    <row r="26" spans="1:10" s="7" customFormat="1" ht="12.75">
      <c r="A26" s="17" t="s">
        <v>23</v>
      </c>
      <c r="B26" s="56" t="s">
        <v>99</v>
      </c>
      <c r="C26" s="48"/>
      <c r="D26" s="51">
        <v>1</v>
      </c>
      <c r="E26" s="6">
        <v>18080</v>
      </c>
      <c r="F26" s="6">
        <v>19348</v>
      </c>
      <c r="G26" s="6"/>
      <c r="H26" s="6"/>
      <c r="I26" s="6"/>
      <c r="J26" s="6"/>
    </row>
    <row r="27" spans="1:4" ht="12.75">
      <c r="A27" s="10" t="s">
        <v>80</v>
      </c>
      <c r="B27" s="46"/>
      <c r="C27" s="46"/>
      <c r="D27" s="51">
        <v>2</v>
      </c>
    </row>
    <row r="28" spans="1:11" ht="12.75">
      <c r="A28" s="10" t="s">
        <v>103</v>
      </c>
      <c r="B28" s="56" t="s">
        <v>104</v>
      </c>
      <c r="C28" s="46"/>
      <c r="D28" s="51">
        <v>2</v>
      </c>
      <c r="E28" s="14"/>
      <c r="F28" s="14"/>
      <c r="G28" s="14">
        <f>D28*2*2.54^2</f>
        <v>25.8064</v>
      </c>
      <c r="K28" t="s">
        <v>106</v>
      </c>
    </row>
    <row r="29" spans="1:4" ht="12.75">
      <c r="A29" s="10"/>
      <c r="B29" s="46"/>
      <c r="C29" s="46"/>
      <c r="D29" s="46"/>
    </row>
    <row r="30" spans="1:4" ht="12.75">
      <c r="A30" s="10"/>
      <c r="B30" s="46"/>
      <c r="C30" s="46"/>
      <c r="D30" s="46"/>
    </row>
    <row r="31" spans="1:10" s="20" customFormat="1" ht="12.75">
      <c r="A31" s="18" t="s">
        <v>21</v>
      </c>
      <c r="B31" s="47"/>
      <c r="C31" s="47"/>
      <c r="D31" s="47"/>
      <c r="E31" s="19">
        <f aca="true" t="shared" si="2" ref="E31:J31">SUM(E26:E30)</f>
        <v>18080</v>
      </c>
      <c r="F31" s="19">
        <f t="shared" si="2"/>
        <v>19348</v>
      </c>
      <c r="G31" s="19">
        <f t="shared" si="2"/>
        <v>25.8064</v>
      </c>
      <c r="H31" s="19">
        <f t="shared" si="2"/>
        <v>0</v>
      </c>
      <c r="I31" s="19">
        <f t="shared" si="2"/>
        <v>0</v>
      </c>
      <c r="J31" s="19">
        <f t="shared" si="2"/>
        <v>0</v>
      </c>
    </row>
    <row r="34" spans="1:10" s="7" customFormat="1" ht="12.75">
      <c r="A34" s="17" t="s">
        <v>24</v>
      </c>
      <c r="B34" s="48"/>
      <c r="C34" s="48"/>
      <c r="D34" s="48"/>
      <c r="E34" s="6"/>
      <c r="F34" s="6"/>
      <c r="G34" s="6"/>
      <c r="H34" s="6"/>
      <c r="I34" s="6"/>
      <c r="J34" s="6"/>
    </row>
    <row r="35" spans="1:4" ht="12.75">
      <c r="A35" s="10" t="s">
        <v>80</v>
      </c>
      <c r="B35" s="46"/>
      <c r="C35" s="46"/>
      <c r="D35" s="46"/>
    </row>
    <row r="36" spans="1:4" ht="12.75">
      <c r="A36" s="10"/>
      <c r="B36" s="46"/>
      <c r="C36" s="46"/>
      <c r="D36" s="46"/>
    </row>
    <row r="37" spans="1:4" ht="12.75">
      <c r="A37" s="10"/>
      <c r="B37" s="46"/>
      <c r="C37" s="46"/>
      <c r="D37" s="46"/>
    </row>
    <row r="38" spans="1:4" ht="12.75">
      <c r="A38" s="10"/>
      <c r="B38" s="46"/>
      <c r="C38" s="46"/>
      <c r="D38" s="46"/>
    </row>
    <row r="39" spans="1:10" s="20" customFormat="1" ht="12.75">
      <c r="A39" s="18" t="s">
        <v>21</v>
      </c>
      <c r="B39" s="47"/>
      <c r="C39" s="47"/>
      <c r="D39" s="47"/>
      <c r="E39" s="19">
        <f aca="true" t="shared" si="3" ref="E39:J39">SUM(E34:E38)</f>
        <v>0</v>
      </c>
      <c r="F39" s="19">
        <f t="shared" si="3"/>
        <v>0</v>
      </c>
      <c r="G39" s="19">
        <f t="shared" si="3"/>
        <v>0</v>
      </c>
      <c r="H39" s="19">
        <f t="shared" si="3"/>
        <v>0</v>
      </c>
      <c r="I39" s="19">
        <f t="shared" si="3"/>
        <v>0</v>
      </c>
      <c r="J39" s="19">
        <f t="shared" si="3"/>
        <v>0</v>
      </c>
    </row>
    <row r="41" ht="12.75">
      <c r="D41" s="52"/>
    </row>
    <row r="42" spans="1:10" s="7" customFormat="1" ht="12.75">
      <c r="A42" s="17" t="s">
        <v>26</v>
      </c>
      <c r="B42" s="56" t="s">
        <v>101</v>
      </c>
      <c r="C42" s="56" t="s">
        <v>100</v>
      </c>
      <c r="D42" s="51">
        <v>1</v>
      </c>
      <c r="E42" s="15"/>
      <c r="F42" s="15">
        <v>47819</v>
      </c>
      <c r="G42" s="15"/>
      <c r="H42" s="15"/>
      <c r="I42" s="15"/>
      <c r="J42" s="15"/>
    </row>
    <row r="43" spans="1:10" ht="12.75">
      <c r="A43" s="10" t="s">
        <v>80</v>
      </c>
      <c r="B43" s="56" t="s">
        <v>102</v>
      </c>
      <c r="C43" s="46"/>
      <c r="D43" s="51">
        <v>16</v>
      </c>
      <c r="E43" s="14"/>
      <c r="F43" s="14"/>
      <c r="G43" s="14">
        <f>D43*(2*PI()*0.2^2+0.39*PI()*0.39)*2.54^2</f>
        <v>75.26835577505871</v>
      </c>
      <c r="H43" s="14"/>
      <c r="I43" s="14"/>
      <c r="J43" s="14"/>
    </row>
    <row r="44" spans="1:11" ht="12.75">
      <c r="A44" s="10" t="s">
        <v>103</v>
      </c>
      <c r="B44" s="56" t="s">
        <v>104</v>
      </c>
      <c r="C44" s="46"/>
      <c r="D44" s="51">
        <v>2</v>
      </c>
      <c r="E44" s="14"/>
      <c r="F44" s="14"/>
      <c r="G44" s="14">
        <f>D44*2*2.54^2</f>
        <v>25.8064</v>
      </c>
      <c r="H44" s="14"/>
      <c r="I44" s="14"/>
      <c r="J44" s="14"/>
      <c r="K44" t="s">
        <v>106</v>
      </c>
    </row>
    <row r="45" spans="1:10" ht="12.75">
      <c r="A45" s="10"/>
      <c r="B45" s="46"/>
      <c r="C45" s="46"/>
      <c r="D45" s="46"/>
      <c r="E45" s="14"/>
      <c r="F45" s="14"/>
      <c r="G45" s="14"/>
      <c r="H45" s="14"/>
      <c r="I45" s="14"/>
      <c r="J45" s="14"/>
    </row>
    <row r="46" spans="1:10" ht="12.75">
      <c r="A46" s="10"/>
      <c r="B46" s="46"/>
      <c r="C46" s="46"/>
      <c r="D46" s="46"/>
      <c r="E46" s="14"/>
      <c r="F46" s="14"/>
      <c r="G46" s="14"/>
      <c r="H46" s="14"/>
      <c r="I46" s="14"/>
      <c r="J46" s="14"/>
    </row>
    <row r="47" spans="1:10" s="20" customFormat="1" ht="12.75">
      <c r="A47" s="18" t="s">
        <v>21</v>
      </c>
      <c r="B47" s="47"/>
      <c r="C47" s="47"/>
      <c r="D47" s="47"/>
      <c r="E47" s="19">
        <f aca="true" t="shared" si="4" ref="E47:J47">SUM(E42:E46)</f>
        <v>0</v>
      </c>
      <c r="F47" s="19">
        <f t="shared" si="4"/>
        <v>47819</v>
      </c>
      <c r="G47" s="19">
        <f t="shared" si="4"/>
        <v>101.0747557750587</v>
      </c>
      <c r="H47" s="19">
        <f t="shared" si="4"/>
        <v>0</v>
      </c>
      <c r="I47" s="19">
        <f t="shared" si="4"/>
        <v>0</v>
      </c>
      <c r="J47" s="19">
        <f t="shared" si="4"/>
        <v>0</v>
      </c>
    </row>
    <row r="50" spans="1:10" s="7" customFormat="1" ht="12.75">
      <c r="A50" s="17" t="s">
        <v>28</v>
      </c>
      <c r="B50" s="48"/>
      <c r="C50" s="48"/>
      <c r="D50" s="48"/>
      <c r="E50" s="15"/>
      <c r="F50" s="15"/>
      <c r="G50" s="15"/>
      <c r="H50" s="15"/>
      <c r="I50" s="15"/>
      <c r="J50" s="15"/>
    </row>
    <row r="51" spans="1:10" ht="12.75">
      <c r="A51" s="10" t="s">
        <v>80</v>
      </c>
      <c r="B51" s="46"/>
      <c r="C51" s="46"/>
      <c r="D51" s="46"/>
      <c r="E51" s="14"/>
      <c r="F51" s="14"/>
      <c r="G51" s="14"/>
      <c r="H51" s="14"/>
      <c r="I51" s="14"/>
      <c r="J51" s="14"/>
    </row>
    <row r="52" spans="1:10" ht="12.75">
      <c r="A52" s="10"/>
      <c r="B52" s="46"/>
      <c r="C52" s="46"/>
      <c r="D52" s="46"/>
      <c r="E52" s="14"/>
      <c r="F52" s="14"/>
      <c r="G52" s="14"/>
      <c r="H52" s="14"/>
      <c r="I52" s="14"/>
      <c r="J52" s="14"/>
    </row>
    <row r="53" spans="1:10" ht="12.75">
      <c r="A53" s="10"/>
      <c r="B53" s="46"/>
      <c r="C53" s="46"/>
      <c r="D53" s="46"/>
      <c r="E53" s="14"/>
      <c r="F53" s="14"/>
      <c r="G53" s="14"/>
      <c r="H53" s="14"/>
      <c r="I53" s="14"/>
      <c r="J53" s="14"/>
    </row>
    <row r="54" spans="1:10" ht="12.75">
      <c r="A54" s="10"/>
      <c r="B54" s="46"/>
      <c r="C54" s="46"/>
      <c r="D54" s="46"/>
      <c r="E54" s="14"/>
      <c r="F54" s="14"/>
      <c r="G54" s="14"/>
      <c r="H54" s="14"/>
      <c r="I54" s="14"/>
      <c r="J54" s="14"/>
    </row>
    <row r="55" spans="1:10" s="20" customFormat="1" ht="12.75">
      <c r="A55" s="18" t="s">
        <v>21</v>
      </c>
      <c r="B55" s="47"/>
      <c r="C55" s="47"/>
      <c r="D55" s="47"/>
      <c r="E55" s="19">
        <f aca="true" t="shared" si="5" ref="E55:J55">SUM(E50:E54)</f>
        <v>0</v>
      </c>
      <c r="F55" s="19">
        <f t="shared" si="5"/>
        <v>0</v>
      </c>
      <c r="G55" s="19">
        <f t="shared" si="5"/>
        <v>0</v>
      </c>
      <c r="H55" s="19">
        <f t="shared" si="5"/>
        <v>0</v>
      </c>
      <c r="I55" s="19">
        <f t="shared" si="5"/>
        <v>0</v>
      </c>
      <c r="J55" s="19">
        <f t="shared" si="5"/>
        <v>0</v>
      </c>
    </row>
  </sheetData>
  <sheetProtection/>
  <hyperlinks>
    <hyperlink ref="C4" r:id="rId1" display="E0900167"/>
    <hyperlink ref="B4" r:id="rId2" display="D0901346"/>
    <hyperlink ref="B5" r:id="rId3" display="D080245"/>
    <hyperlink ref="B6" r:id="rId4" display="D060546"/>
    <hyperlink ref="B7" r:id="rId5" display="D060445"/>
    <hyperlink ref="B8" r:id="rId6" display="D060449"/>
    <hyperlink ref="B9" r:id="rId7" display="D060460"/>
    <hyperlink ref="B10" r:id="rId8" display="D060461"/>
    <hyperlink ref="B11" r:id="rId9" display="D060479"/>
    <hyperlink ref="B12" r:id="rId10" display="D090433"/>
    <hyperlink ref="B13" r:id="rId11" display="D090434"/>
    <hyperlink ref="B18" r:id="rId12" display="D070447"/>
    <hyperlink ref="B26" r:id="rId13" display="D020700"/>
    <hyperlink ref="C42" r:id="rId14" display="E0900061"/>
    <hyperlink ref="B43" r:id="rId15" display="D0900702"/>
    <hyperlink ref="B42" r:id="rId16" display="D0900295"/>
    <hyperlink ref="B44" r:id="rId17" display="D0902849"/>
    <hyperlink ref="B28" r:id="rId18" display="D0902849"/>
    <hyperlink ref="B20" r:id="rId19" display="D0902849"/>
    <hyperlink ref="B14" r:id="rId20" display="D0902849"/>
  </hyperlinks>
  <printOptions/>
  <pageMargins left="0.75" right="0.75" top="1" bottom="1" header="0.5" footer="0.5"/>
  <pageSetup fitToHeight="1" fitToWidth="1" orientation="landscape" scale="64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Zucker</dc:creator>
  <cp:keywords/>
  <dc:description/>
  <cp:lastModifiedBy>Dennis Coyne</cp:lastModifiedBy>
  <cp:lastPrinted>2010-02-06T05:32:44Z</cp:lastPrinted>
  <dcterms:created xsi:type="dcterms:W3CDTF">2009-11-04T00:30:20Z</dcterms:created>
  <dcterms:modified xsi:type="dcterms:W3CDTF">2010-09-25T20:02:45Z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